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drawing+xml" PartName="/xl/drawings/drawing2.xml"/>
  <Default ContentType="application/vnd.openxmlformats-officedocument.vmlDrawing" Extension="vml"/>
  <Override ContentType="image/x-emf" PartName="/xl/media/image1.emf"/>
  <Override ContentType="image/x-emf" PartName="/xl/media/image2.emf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370" tabRatio="581" firstSheet="1" activeTab="4"/>
  </bookViews>
  <sheets>
    <sheet name="计算总表" sheetId="1" r:id="rId1"/>
    <sheet name="铜包钢与镀银厚度计算" sheetId="2" r:id="rId2"/>
    <sheet name="载流量计算" sheetId="3" r:id="rId3"/>
    <sheet name="载流量參數表" sheetId="4" r:id="rId4"/>
    <sheet name="正规绞合排列表" sheetId="5" r:id="rId5"/>
    <sheet name="Sheet9" sheetId="6" r:id="rId6"/>
    <sheet name="Sheet10" sheetId="7" r:id="rId7"/>
    <sheet name="Sheet11" sheetId="8" r:id="rId8"/>
    <sheet name="Sheet12" sheetId="9" r:id="rId9"/>
    <sheet name="Sheet13" sheetId="10" r:id="rId10"/>
    <sheet name="Sheet14" sheetId="11" r:id="rId11"/>
    <sheet name="Sheet15" sheetId="12" r:id="rId12"/>
    <sheet name="Sheet16" sheetId="13" r:id="rId13"/>
    <sheet name="Sheet1" sheetId="14" r:id="rId14"/>
  </sheets>
  <definedNames>
    <definedName name="solver_adj" localSheetId="0" hidden="1">计算总表!$A$9:$B$9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计算总表!$I$9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1.5</definedName>
  </definedNames>
  <calcPr calcId="144525"/>
</workbook>
</file>

<file path=xl/comments1.xml><?xml version="1.0" encoding="utf-8"?>
<comments xmlns="http://schemas.openxmlformats.org/spreadsheetml/2006/main">
  <authors>
    <author>一個滿意的 Microsoft Office 使用者</author>
  </authors>
  <commentList>
    <comment ref="E2" authorId="0">
      <text>
        <r>
          <rPr>
            <sz val="9"/>
            <color indexed="81"/>
            <rFont val="宋体"/>
            <charset val="134"/>
          </rPr>
          <t xml:space="preserve">单线直径:
0.05~0.10  cb(绞合裸铜)1.07 ct(绞合镀锡)1.12
0.10~0.31  fb(实心裸铜)1.05 ft(实心镀锡)1.08 cb1.07 ct1.12
0.31~0.91  fb1.03 ft1.05 cb1.02 ct1.04
0.91~3.60  fb1.03 ft1.04 cb1.02 ct1.03
3.60~         fb1.03 ft1.04</t>
        </r>
      </text>
    </comment>
    <comment ref="F2" authorId="0">
      <text>
        <r>
          <rPr>
            <sz val="9"/>
            <color indexed="81"/>
            <rFont val="宋体"/>
            <charset val="134"/>
          </rPr>
          <t xml:space="preserve">1.00 实心导体
1.02 d&gt;0.6MM硬绞合导体或硬导体
1.03 d&gt;0.6MM软绞合导体
1.04 d≦0.6MM软绞合导体或软导体</t>
        </r>
      </text>
    </comment>
    <comment ref="G2" authorId="0">
      <text>
        <r>
          <rPr>
            <sz val="9"/>
            <color indexed="81"/>
            <rFont val="宋体"/>
            <charset val="134"/>
          </rPr>
          <t xml:space="preserve">1.00 单芯电缆或软线,以及扁形电缆和软线
1.02 多芯圆电缆
1.05 多芯软电缆和软线</t>
        </r>
      </text>
    </comment>
    <comment ref="N2" authorId="0">
      <text>
        <r>
          <rPr>
            <sz val="9"/>
            <color indexed="81"/>
            <rFont val="宋体"/>
            <charset val="134"/>
          </rPr>
          <t xml:space="preserve">hailong xu:
0.2 second, PVC formula</t>
        </r>
      </text>
    </comment>
  </commentList>
</comments>
</file>

<file path=xl/comments2.xml><?xml version="1.0" encoding="utf-8"?>
<comments xmlns="http://schemas.openxmlformats.org/spreadsheetml/2006/main">
  <authors>
    <author>TigerZhang</author>
  </authors>
  <commentList>
    <comment ref="G2" authorId="0">
      <text>
        <r>
          <rPr>
            <sz val="9"/>
            <color indexed="81"/>
            <rFont val="宋体"/>
            <charset val="134"/>
          </rPr>
          <t xml:space="preserve">銅:0.00393
鋁:0.0040
</t>
        </r>
      </text>
    </comment>
  </commentList>
</comments>
</file>

<file path=xl/sharedStrings.xml><?xml version="1.0" encoding="utf-8"?>
<sst xmlns="http://schemas.openxmlformats.org/spreadsheetml/2006/main" count="183">
  <si>
    <r>
      <rPr>
        <b/>
        <sz val="18"/>
        <rFont val="宋体"/>
        <charset val="134"/>
      </rPr>
      <t>导体</t>
    </r>
    <r>
      <rPr>
        <b/>
        <sz val="18"/>
        <rFont val="新細明體"/>
        <charset val="136"/>
      </rPr>
      <t>相</t>
    </r>
    <r>
      <rPr>
        <b/>
        <sz val="18"/>
        <rFont val="宋体"/>
        <charset val="134"/>
      </rPr>
      <t>关参数计算表</t>
    </r>
  </si>
  <si>
    <t>导体
根数</t>
  </si>
  <si>
    <t>单根导
体直径</t>
  </si>
  <si>
    <t>绞合
节距</t>
  </si>
  <si>
    <t>绞合
系数</t>
  </si>
  <si>
    <t>是否镀
锡系数</t>
  </si>
  <si>
    <t>导体结
构系数</t>
  </si>
  <si>
    <t>成缆方
式系数</t>
  </si>
  <si>
    <t>导体截
面积</t>
  </si>
  <si>
    <t>导体
线规</t>
  </si>
  <si>
    <t>绞合后
外径</t>
  </si>
  <si>
    <t>导体
用量</t>
  </si>
  <si>
    <t>导体
电阻</t>
  </si>
  <si>
    <t>短路额定电流，0.2S</t>
  </si>
  <si>
    <r>
      <rPr>
        <sz val="12"/>
        <rFont val="宋体"/>
        <charset val="134"/>
      </rPr>
      <t>单位换算</t>
    </r>
    <r>
      <rPr>
        <sz val="12"/>
        <rFont val="新細明體"/>
        <charset val="136"/>
      </rPr>
      <t>﹕A=(d/25.4)X1000</t>
    </r>
  </si>
  <si>
    <t>根</t>
  </si>
  <si>
    <t>mm</t>
  </si>
  <si>
    <t>(k1)</t>
  </si>
  <si>
    <t>(k2)</t>
  </si>
  <si>
    <t>(k3)</t>
  </si>
  <si>
    <t>cmil</t>
  </si>
  <si>
    <r>
      <rPr>
        <sz val="12"/>
        <rFont val="宋体"/>
        <charset val="134"/>
      </rPr>
      <t>mm</t>
    </r>
    <r>
      <rPr>
        <vertAlign val="superscript"/>
        <sz val="12"/>
        <rFont val="宋体"/>
        <charset val="134"/>
      </rPr>
      <t>2</t>
    </r>
  </si>
  <si>
    <t>AWG</t>
  </si>
  <si>
    <t>kg/km</t>
  </si>
  <si>
    <t>Ω/KM</t>
  </si>
  <si>
    <t>A</t>
  </si>
  <si>
    <r>
      <rPr>
        <sz val="12"/>
        <rFont val="新細明體"/>
        <charset val="136"/>
      </rPr>
      <t>面</t>
    </r>
    <r>
      <rPr>
        <sz val="12"/>
        <rFont val="宋体"/>
        <charset val="134"/>
      </rPr>
      <t>积计算</t>
    </r>
    <r>
      <rPr>
        <sz val="12"/>
        <rFont val="新細明體"/>
        <charset val="136"/>
      </rPr>
      <t>﹕B=nxA</t>
    </r>
    <r>
      <rPr>
        <vertAlign val="superscript"/>
        <sz val="12"/>
        <rFont val="新細明體"/>
        <charset val="136"/>
      </rPr>
      <t>2</t>
    </r>
  </si>
  <si>
    <r>
      <rPr>
        <sz val="11"/>
        <rFont val="新細明體"/>
        <charset val="136"/>
      </rPr>
      <t>AWG理</t>
    </r>
    <r>
      <rPr>
        <sz val="11"/>
        <rFont val="宋体"/>
        <charset val="134"/>
      </rPr>
      <t>论值</t>
    </r>
    <r>
      <rPr>
        <sz val="11"/>
        <rFont val="新細明體"/>
        <charset val="136"/>
      </rPr>
      <t>=49.8813-9.9298logB</t>
    </r>
  </si>
  <si>
    <r>
      <rPr>
        <sz val="12"/>
        <rFont val="新細明體"/>
        <charset val="136"/>
      </rPr>
      <t>d.</t>
    </r>
    <r>
      <rPr>
        <sz val="12"/>
        <rFont val="宋体"/>
        <charset val="134"/>
      </rPr>
      <t>单线直径</t>
    </r>
  </si>
  <si>
    <r>
      <rPr>
        <sz val="12"/>
        <color indexed="8"/>
        <rFont val="宋体"/>
        <charset val="134"/>
      </rPr>
      <t>绞线内导体的导线根数</t>
    </r>
    <r>
      <rPr>
        <sz val="12"/>
        <color indexed="8"/>
        <rFont val="PMingLiU"/>
        <charset val="136"/>
      </rPr>
      <t xml:space="preserve"> </t>
    </r>
  </si>
  <si>
    <t xml:space="preserve">N </t>
  </si>
  <si>
    <r>
      <rPr>
        <sz val="12"/>
        <rFont val="新細明體"/>
        <charset val="136"/>
      </rPr>
      <t>n.</t>
    </r>
    <r>
      <rPr>
        <sz val="12"/>
        <rFont val="宋体"/>
        <charset val="134"/>
      </rPr>
      <t>导体单线根数</t>
    </r>
  </si>
  <si>
    <r>
      <rPr>
        <sz val="12"/>
        <color indexed="8"/>
        <rFont val="宋体"/>
        <charset val="134"/>
      </rPr>
      <t>导体结构修正系数与导体根数之间的关系</t>
    </r>
    <r>
      <rPr>
        <sz val="12"/>
        <color indexed="8"/>
        <rFont val="PMingLiU"/>
        <charset val="136"/>
      </rPr>
      <t>:</t>
    </r>
  </si>
  <si>
    <r>
      <rPr>
        <sz val="12"/>
        <color indexed="8"/>
        <rFont val="宋体"/>
        <charset val="134"/>
      </rPr>
      <t>内导体结构的修正系数</t>
    </r>
    <r>
      <rPr>
        <sz val="12"/>
        <color indexed="8"/>
        <rFont val="PMingLiU"/>
        <charset val="136"/>
      </rPr>
      <t xml:space="preserve"> </t>
    </r>
  </si>
  <si>
    <r>
      <rPr>
        <sz val="12"/>
        <color indexed="8"/>
        <rFont val="PMingLiU"/>
        <charset val="136"/>
      </rPr>
      <t>K</t>
    </r>
    <r>
      <rPr>
        <vertAlign val="subscript"/>
        <sz val="12"/>
        <color indexed="8"/>
        <rFont val="PMingLiU"/>
        <charset val="136"/>
      </rPr>
      <t xml:space="preserve">1 </t>
    </r>
  </si>
  <si>
    <r>
      <rPr>
        <b/>
        <sz val="12"/>
        <color indexed="30"/>
        <rFont val="宋体"/>
        <charset val="134"/>
      </rPr>
      <t>内导体结构的修正系数</t>
    </r>
    <r>
      <rPr>
        <b/>
        <sz val="12"/>
        <color indexed="30"/>
        <rFont val="PMingLiU"/>
        <charset val="136"/>
      </rPr>
      <t xml:space="preserve"> </t>
    </r>
  </si>
  <si>
    <r>
      <rPr>
        <b/>
        <sz val="12"/>
        <color indexed="30"/>
        <rFont val="PMingLiU"/>
        <charset val="136"/>
      </rPr>
      <t>K</t>
    </r>
    <r>
      <rPr>
        <b/>
        <vertAlign val="subscript"/>
        <sz val="12"/>
        <color indexed="30"/>
        <rFont val="PMingLiU"/>
        <charset val="136"/>
      </rPr>
      <t xml:space="preserve">1 </t>
    </r>
  </si>
  <si>
    <t>电缆短路额定电流近似计算（公式）：</t>
  </si>
  <si>
    <t>　　Icu=226S*sqr{ln[(θ1+234)/ (θ0+234)]}/sqr(t)</t>
  </si>
  <si>
    <t>　　Ial=148S*sqr{ln[(θ1+228)/ (θ0+228)]}/sqr(t)</t>
  </si>
  <si>
    <t>　　Icu —— 铜导体短路电流 （A）</t>
  </si>
  <si>
    <t>　　Ial —— 铝导体短路电流 （A）</t>
  </si>
  <si>
    <t>　　S —— 导体标称截面 （mm^2）</t>
  </si>
  <si>
    <t>　　t —— 持续时间 （s）</t>
  </si>
  <si>
    <t>　　θ0 —— 初始温度 （oC，XLPE 90，PVC 70）</t>
  </si>
  <si>
    <t>　　θ1 —— 最高短路温度 （oC，XLPE 250，PVC 160）</t>
  </si>
  <si>
    <t>铜包钢计算表</t>
  </si>
  <si>
    <r>
      <rPr>
        <b/>
        <sz val="12"/>
        <rFont val="穝灿砰"/>
        <charset val="134"/>
      </rPr>
      <t>线径（</t>
    </r>
    <r>
      <rPr>
        <b/>
        <sz val="12"/>
        <rFont val="Times New Roman"/>
        <charset val="134"/>
      </rPr>
      <t>mm)</t>
    </r>
  </si>
  <si>
    <t>相对导电率</t>
  </si>
  <si>
    <r>
      <rPr>
        <b/>
        <sz val="12"/>
        <rFont val="穝灿砰"/>
        <charset val="134"/>
      </rPr>
      <t>铜层厚度（</t>
    </r>
    <r>
      <rPr>
        <b/>
        <sz val="12"/>
        <rFont val="宋体"/>
        <charset val="134"/>
      </rPr>
      <t>μ</t>
    </r>
    <r>
      <rPr>
        <b/>
        <sz val="12"/>
        <rFont val="Times New Roman"/>
        <charset val="134"/>
      </rPr>
      <t>m)</t>
    </r>
  </si>
  <si>
    <r>
      <rPr>
        <b/>
        <sz val="12"/>
        <rFont val="穝灿砰"/>
        <charset val="134"/>
      </rPr>
      <t>铜层总重量</t>
    </r>
    <r>
      <rPr>
        <b/>
        <sz val="12"/>
        <rFont val="Times New Roman"/>
        <charset val="134"/>
      </rPr>
      <t>(kg/km)</t>
    </r>
  </si>
  <si>
    <r>
      <rPr>
        <b/>
        <sz val="12"/>
        <rFont val="穝灿砰"/>
        <charset val="134"/>
      </rPr>
      <t>钢总重量</t>
    </r>
    <r>
      <rPr>
        <b/>
        <sz val="12"/>
        <rFont val="Times New Roman"/>
        <charset val="134"/>
      </rPr>
      <t>(kg/km)</t>
    </r>
  </si>
  <si>
    <r>
      <rPr>
        <b/>
        <sz val="12"/>
        <rFont val="穝灿砰"/>
        <charset val="134"/>
      </rPr>
      <t>总重量</t>
    </r>
    <r>
      <rPr>
        <b/>
        <sz val="12"/>
        <rFont val="Times New Roman"/>
        <charset val="134"/>
      </rPr>
      <t>(kg/km)</t>
    </r>
  </si>
  <si>
    <r>
      <rPr>
        <b/>
        <sz val="12"/>
        <rFont val="穝灿砰"/>
        <charset val="134"/>
      </rPr>
      <t>平均密度
(g/cm</t>
    </r>
    <r>
      <rPr>
        <b/>
        <vertAlign val="superscript"/>
        <sz val="12"/>
        <rFont val="穝灿砰"/>
        <charset val="134"/>
      </rPr>
      <t>3</t>
    </r>
    <r>
      <rPr>
        <b/>
        <sz val="12"/>
        <rFont val="穝灿砰"/>
        <charset val="134"/>
      </rPr>
      <t>)</t>
    </r>
  </si>
  <si>
    <r>
      <rPr>
        <b/>
        <sz val="12"/>
        <rFont val="穝灿砰"/>
        <charset val="134"/>
      </rPr>
      <t>导体电阻(</t>
    </r>
    <r>
      <rPr>
        <sz val="12"/>
        <rFont val="宋体"/>
        <charset val="134"/>
      </rPr>
      <t>Ω</t>
    </r>
    <r>
      <rPr>
        <sz val="12"/>
        <rFont val="穝灿砰"/>
        <charset val="134"/>
      </rPr>
      <t>/KM)</t>
    </r>
  </si>
  <si>
    <t>镀银导体镀层厚度计算表</t>
  </si>
  <si>
    <t>拉丝前直径 mm</t>
  </si>
  <si>
    <t>拉丝后直径 mm</t>
  </si>
  <si>
    <r>
      <rPr>
        <sz val="12"/>
        <rFont val="穝灿砰"/>
        <charset val="134"/>
      </rPr>
      <t xml:space="preserve">拉丝前银层厚度 </t>
    </r>
    <r>
      <rPr>
        <sz val="12"/>
        <rFont val="Calibri"/>
        <charset val="134"/>
      </rPr>
      <t>µ</t>
    </r>
    <r>
      <rPr>
        <sz val="12"/>
        <rFont val="穝灿砰"/>
        <charset val="134"/>
      </rPr>
      <t>m</t>
    </r>
  </si>
  <si>
    <t>拉丝后银层厚度 µm</t>
  </si>
  <si>
    <t>电线载流量的计算</t>
  </si>
  <si>
    <r>
      <rPr>
        <sz val="12"/>
        <rFont val="宋体"/>
        <charset val="134"/>
      </rPr>
      <t>导体最高使用温度</t>
    </r>
    <r>
      <rPr>
        <sz val="12"/>
        <rFont val="Times New Roman"/>
        <charset val="134"/>
      </rPr>
      <t>T</t>
    </r>
    <r>
      <rPr>
        <vertAlign val="subscript"/>
        <sz val="12"/>
        <rFont val="Times New Roman"/>
        <charset val="134"/>
      </rPr>
      <t>C</t>
    </r>
    <r>
      <rPr>
        <sz val="12"/>
        <rFont val="Times New Roman"/>
        <charset val="134"/>
      </rPr>
      <t>(</t>
    </r>
    <r>
      <rPr>
        <sz val="12"/>
        <rFont val="新細明體"/>
        <charset val="136"/>
      </rPr>
      <t>℃</t>
    </r>
    <r>
      <rPr>
        <sz val="12"/>
        <rFont val="Times New Roman"/>
        <charset val="134"/>
      </rPr>
      <t>)</t>
    </r>
  </si>
  <si>
    <r>
      <rPr>
        <u/>
        <sz val="12"/>
        <color indexed="20"/>
        <rFont val="新細明體"/>
        <charset val="136"/>
      </rPr>
      <t>周</t>
    </r>
    <r>
      <rPr>
        <u/>
        <sz val="12"/>
        <color indexed="20"/>
        <rFont val="宋体"/>
        <charset val="134"/>
      </rPr>
      <t>围</t>
    </r>
    <r>
      <rPr>
        <u/>
        <sz val="12"/>
        <color indexed="20"/>
        <rFont val="新細明體"/>
        <charset val="136"/>
      </rPr>
      <t>最高允</t>
    </r>
    <r>
      <rPr>
        <u/>
        <sz val="12"/>
        <color indexed="20"/>
        <rFont val="宋体"/>
        <charset val="134"/>
      </rPr>
      <t>许温</t>
    </r>
    <r>
      <rPr>
        <u/>
        <sz val="12"/>
        <color indexed="20"/>
        <rFont val="新細明體"/>
        <charset val="136"/>
      </rPr>
      <t>度TA(℃)</t>
    </r>
  </si>
  <si>
    <r>
      <rPr>
        <u/>
        <sz val="12"/>
        <color indexed="20"/>
        <rFont val="宋体"/>
        <charset val="134"/>
      </rPr>
      <t>绝缘</t>
    </r>
    <r>
      <rPr>
        <u/>
        <sz val="12"/>
        <color indexed="20"/>
        <rFont val="新細明體"/>
        <charset val="136"/>
      </rPr>
      <t>体固有</t>
    </r>
    <r>
      <rPr>
        <u/>
        <sz val="12"/>
        <color indexed="20"/>
        <rFont val="宋体"/>
        <charset val="134"/>
      </rPr>
      <t>热</t>
    </r>
    <r>
      <rPr>
        <u/>
        <sz val="12"/>
        <color indexed="20"/>
        <rFont val="新細明體"/>
        <charset val="136"/>
      </rPr>
      <t>阻抗P1(℃.cm/W)</t>
    </r>
  </si>
  <si>
    <r>
      <rPr>
        <u/>
        <sz val="12"/>
        <color indexed="20"/>
        <rFont val="新細明體"/>
        <charset val="136"/>
      </rPr>
      <t>表面散</t>
    </r>
    <r>
      <rPr>
        <u/>
        <sz val="12"/>
        <color indexed="20"/>
        <rFont val="宋体"/>
        <charset val="134"/>
      </rPr>
      <t>热</t>
    </r>
    <r>
      <rPr>
        <u/>
        <sz val="12"/>
        <color indexed="20"/>
        <rFont val="新細明體"/>
        <charset val="136"/>
      </rPr>
      <t>阻抗P2(℃.cm/W)</t>
    </r>
  </si>
  <si>
    <r>
      <rPr>
        <sz val="12"/>
        <rFont val="Times New Roman"/>
        <charset val="134"/>
      </rPr>
      <t>20</t>
    </r>
    <r>
      <rPr>
        <sz val="12"/>
        <rFont val="新細明體"/>
        <charset val="136"/>
      </rPr>
      <t>℃</t>
    </r>
    <r>
      <rPr>
        <sz val="12"/>
        <rFont val="宋体"/>
        <charset val="134"/>
      </rPr>
      <t>时导体有效电阻</t>
    </r>
    <r>
      <rPr>
        <sz val="12"/>
        <rFont val="新細明體"/>
        <charset val="136"/>
      </rPr>
      <t>γ</t>
    </r>
    <r>
      <rPr>
        <vertAlign val="subscript"/>
        <sz val="12"/>
        <rFont val="Times New Roman"/>
        <charset val="134"/>
      </rPr>
      <t>0</t>
    </r>
    <r>
      <rPr>
        <sz val="12"/>
        <rFont val="Times New Roman"/>
        <charset val="134"/>
      </rPr>
      <t>(ohm/km)</t>
    </r>
  </si>
  <si>
    <r>
      <rPr>
        <u/>
        <sz val="12"/>
        <color indexed="20"/>
        <rFont val="新細明體"/>
        <charset val="136"/>
      </rPr>
      <t>允</t>
    </r>
    <r>
      <rPr>
        <u/>
        <sz val="12"/>
        <color indexed="20"/>
        <rFont val="宋体"/>
        <charset val="134"/>
      </rPr>
      <t>许电</t>
    </r>
    <r>
      <rPr>
        <u/>
        <sz val="12"/>
        <color indexed="20"/>
        <rFont val="新細明體"/>
        <charset val="136"/>
      </rPr>
      <t>流衰</t>
    </r>
    <r>
      <rPr>
        <u/>
        <sz val="12"/>
        <color indexed="20"/>
        <rFont val="宋体"/>
        <charset val="134"/>
      </rPr>
      <t>减</t>
    </r>
    <r>
      <rPr>
        <u/>
        <sz val="12"/>
        <color indexed="20"/>
        <rFont val="新細明體"/>
        <charset val="136"/>
      </rPr>
      <t>系</t>
    </r>
    <r>
      <rPr>
        <u/>
        <sz val="12"/>
        <color indexed="20"/>
        <rFont val="宋体"/>
        <charset val="134"/>
      </rPr>
      <t>数</t>
    </r>
    <r>
      <rPr>
        <u/>
        <sz val="12"/>
        <color indexed="20"/>
        <rFont val="新細明體"/>
        <charset val="136"/>
      </rPr>
      <t>K</t>
    </r>
  </si>
  <si>
    <r>
      <rPr>
        <sz val="12"/>
        <rFont val="宋体"/>
        <charset val="134"/>
      </rPr>
      <t>导体阻抗温度系数</t>
    </r>
    <r>
      <rPr>
        <sz val="12"/>
        <rFont val="新細明體"/>
        <charset val="136"/>
      </rPr>
      <t>α</t>
    </r>
  </si>
  <si>
    <r>
      <rPr>
        <sz val="12"/>
        <rFont val="宋体"/>
        <charset val="134"/>
      </rPr>
      <t>导体外径</t>
    </r>
    <r>
      <rPr>
        <sz val="12"/>
        <rFont val="Times New Roman"/>
        <charset val="134"/>
      </rPr>
      <t>d</t>
    </r>
    <r>
      <rPr>
        <vertAlign val="subscript"/>
        <sz val="12"/>
        <rFont val="Times New Roman"/>
        <charset val="134"/>
      </rPr>
      <t>1</t>
    </r>
  </si>
  <si>
    <r>
      <rPr>
        <sz val="12"/>
        <rFont val="宋体"/>
        <charset val="134"/>
      </rPr>
      <t>绝缘外径</t>
    </r>
    <r>
      <rPr>
        <sz val="12"/>
        <rFont val="Times New Roman"/>
        <charset val="134"/>
      </rPr>
      <t>d</t>
    </r>
    <r>
      <rPr>
        <vertAlign val="subscript"/>
        <sz val="12"/>
        <rFont val="Times New Roman"/>
        <charset val="134"/>
      </rPr>
      <t>2</t>
    </r>
  </si>
  <si>
    <r>
      <rPr>
        <sz val="12"/>
        <rFont val="宋体"/>
        <charset val="134"/>
      </rPr>
      <t>导体载流量</t>
    </r>
    <r>
      <rPr>
        <sz val="12"/>
        <rFont val="Times New Roman"/>
        <charset val="134"/>
      </rPr>
      <t>I(A)</t>
    </r>
  </si>
  <si>
    <t>insulation material</t>
  </si>
  <si>
    <t>conductor AWG</t>
  </si>
  <si>
    <t>PVC</t>
  </si>
  <si>
    <t>16AWG</t>
  </si>
  <si>
    <t>silicone</t>
  </si>
  <si>
    <t>30AWG</t>
  </si>
  <si>
    <t>28AWG</t>
  </si>
  <si>
    <t>XL-PE</t>
  </si>
  <si>
    <r>
      <rPr>
        <sz val="12"/>
        <rFont val="宋体"/>
        <charset val="134"/>
      </rPr>
      <t>绝缘</t>
    </r>
    <r>
      <rPr>
        <sz val="12"/>
        <rFont val="新細明體"/>
        <charset val="136"/>
      </rPr>
      <t>体的固有</t>
    </r>
    <r>
      <rPr>
        <sz val="12"/>
        <rFont val="宋体"/>
        <charset val="134"/>
      </rPr>
      <t>热</t>
    </r>
    <r>
      <rPr>
        <sz val="12"/>
        <rFont val="新細明體"/>
        <charset val="136"/>
      </rPr>
      <t>阻抗</t>
    </r>
  </si>
  <si>
    <r>
      <rPr>
        <sz val="12"/>
        <rFont val="新細明體"/>
        <charset val="136"/>
      </rPr>
      <t>表面散</t>
    </r>
    <r>
      <rPr>
        <sz val="12"/>
        <rFont val="宋体"/>
        <charset val="134"/>
      </rPr>
      <t>热</t>
    </r>
    <r>
      <rPr>
        <sz val="12"/>
        <rFont val="新細明體"/>
        <charset val="136"/>
      </rPr>
      <t>系</t>
    </r>
    <r>
      <rPr>
        <sz val="12"/>
        <rFont val="宋体"/>
        <charset val="134"/>
      </rPr>
      <t>数</t>
    </r>
  </si>
  <si>
    <t>材料名</t>
  </si>
  <si>
    <r>
      <rPr>
        <sz val="12"/>
        <rFont val="Times New Roman"/>
        <charset val="134"/>
      </rPr>
      <t>P</t>
    </r>
    <r>
      <rPr>
        <vertAlign val="subscript"/>
        <sz val="12"/>
        <rFont val="Times New Roman"/>
        <charset val="134"/>
      </rPr>
      <t>1</t>
    </r>
    <r>
      <rPr>
        <sz val="12"/>
        <rFont val="Times New Roman"/>
        <charset val="134"/>
      </rPr>
      <t>(</t>
    </r>
    <r>
      <rPr>
        <sz val="12"/>
        <rFont val="新細明體"/>
        <charset val="136"/>
      </rPr>
      <t>℃</t>
    </r>
    <r>
      <rPr>
        <sz val="12"/>
        <rFont val="Times New Roman"/>
        <charset val="134"/>
      </rPr>
      <t>.cm/W)</t>
    </r>
  </si>
  <si>
    <r>
      <rPr>
        <sz val="12"/>
        <rFont val="Times New Roman"/>
        <charset val="134"/>
      </rPr>
      <t>P</t>
    </r>
    <r>
      <rPr>
        <vertAlign val="subscript"/>
        <sz val="12"/>
        <rFont val="Times New Roman"/>
        <charset val="134"/>
      </rPr>
      <t>2</t>
    </r>
    <r>
      <rPr>
        <sz val="12"/>
        <rFont val="Times New Roman"/>
        <charset val="134"/>
      </rPr>
      <t>(</t>
    </r>
    <r>
      <rPr>
        <sz val="12"/>
        <rFont val="新細明體"/>
        <charset val="136"/>
      </rPr>
      <t>℃</t>
    </r>
    <r>
      <rPr>
        <sz val="12"/>
        <rFont val="Times New Roman"/>
        <charset val="134"/>
      </rPr>
      <t>.cm/W)</t>
    </r>
  </si>
  <si>
    <t>表面材料</t>
  </si>
  <si>
    <r>
      <rPr>
        <sz val="12"/>
        <rFont val="Times New Roman"/>
        <charset val="134"/>
      </rPr>
      <t>500+10d</t>
    </r>
    <r>
      <rPr>
        <vertAlign val="subscript"/>
        <sz val="12"/>
        <rFont val="Times New Roman"/>
        <charset val="134"/>
      </rPr>
      <t>2</t>
    </r>
    <r>
      <rPr>
        <sz val="12"/>
        <rFont val="Times New Roman"/>
        <charset val="134"/>
      </rPr>
      <t>(d</t>
    </r>
    <r>
      <rPr>
        <vertAlign val="subscript"/>
        <sz val="12"/>
        <rFont val="Times New Roman"/>
        <charset val="134"/>
      </rPr>
      <t>2</t>
    </r>
    <r>
      <rPr>
        <sz val="12"/>
        <rFont val="Times New Roman"/>
        <charset val="134"/>
      </rPr>
      <t>&lt;=40)</t>
    </r>
  </si>
  <si>
    <t>XL-PVC</t>
  </si>
  <si>
    <r>
      <rPr>
        <sz val="12"/>
        <rFont val="新細明體"/>
        <charset val="136"/>
      </rPr>
      <t>含浸</t>
    </r>
    <r>
      <rPr>
        <sz val="12"/>
        <rFont val="宋体"/>
        <charset val="134"/>
      </rPr>
      <t>渗编织</t>
    </r>
  </si>
  <si>
    <r>
      <rPr>
        <sz val="12"/>
        <rFont val="Times New Roman"/>
        <charset val="134"/>
      </rPr>
      <t>400+20d</t>
    </r>
    <r>
      <rPr>
        <vertAlign val="subscript"/>
        <sz val="12"/>
        <rFont val="Times New Roman"/>
        <charset val="134"/>
      </rPr>
      <t>2</t>
    </r>
    <r>
      <rPr>
        <sz val="12"/>
        <rFont val="Times New Roman"/>
        <charset val="134"/>
      </rPr>
      <t>(d</t>
    </r>
    <r>
      <rPr>
        <vertAlign val="subscript"/>
        <sz val="12"/>
        <rFont val="Times New Roman"/>
        <charset val="134"/>
      </rPr>
      <t>2</t>
    </r>
    <r>
      <rPr>
        <sz val="12"/>
        <rFont val="Times New Roman"/>
        <charset val="134"/>
      </rPr>
      <t>&lt;=20)</t>
    </r>
  </si>
  <si>
    <t>PE</t>
  </si>
  <si>
    <r>
      <rPr>
        <sz val="12"/>
        <rFont val="新細明體"/>
        <charset val="136"/>
      </rPr>
      <t>硅橡</t>
    </r>
    <r>
      <rPr>
        <sz val="12"/>
        <rFont val="宋体"/>
        <charset val="134"/>
      </rPr>
      <t>胶</t>
    </r>
  </si>
  <si>
    <r>
      <rPr>
        <sz val="12"/>
        <rFont val="新細明體"/>
        <charset val="136"/>
      </rPr>
      <t>乙丙橡</t>
    </r>
    <r>
      <rPr>
        <sz val="12"/>
        <rFont val="宋体"/>
        <charset val="134"/>
      </rPr>
      <t>胶</t>
    </r>
  </si>
  <si>
    <r>
      <rPr>
        <sz val="12"/>
        <rFont val="新細明體"/>
        <charset val="136"/>
      </rPr>
      <t>氯丁橡</t>
    </r>
    <r>
      <rPr>
        <sz val="12"/>
        <rFont val="宋体"/>
        <charset val="134"/>
      </rPr>
      <t>胶</t>
    </r>
  </si>
  <si>
    <t>TFE</t>
  </si>
  <si>
    <t>FEP</t>
  </si>
  <si>
    <t>ETFE</t>
  </si>
  <si>
    <r>
      <rPr>
        <sz val="12"/>
        <rFont val="新細明體"/>
        <charset val="136"/>
      </rPr>
      <t>氟化</t>
    </r>
    <r>
      <rPr>
        <sz val="12"/>
        <rFont val="Times New Roman"/>
        <charset val="134"/>
      </rPr>
      <t>PVC</t>
    </r>
  </si>
  <si>
    <r>
      <rPr>
        <sz val="12"/>
        <rFont val="新細明體"/>
        <charset val="136"/>
      </rPr>
      <t>最高允</t>
    </r>
    <r>
      <rPr>
        <sz val="12"/>
        <rFont val="宋体"/>
        <charset val="134"/>
      </rPr>
      <t>许温</t>
    </r>
    <r>
      <rPr>
        <sz val="12"/>
        <rFont val="新細明體"/>
        <charset val="136"/>
      </rPr>
      <t>度</t>
    </r>
  </si>
  <si>
    <r>
      <rPr>
        <sz val="12"/>
        <rFont val="宋体"/>
        <charset val="134"/>
      </rPr>
      <t>载</t>
    </r>
    <r>
      <rPr>
        <sz val="12"/>
        <rFont val="新細明體"/>
        <charset val="136"/>
      </rPr>
      <t>流量</t>
    </r>
    <r>
      <rPr>
        <sz val="12"/>
        <rFont val="宋体"/>
        <charset val="134"/>
      </rPr>
      <t>环</t>
    </r>
    <r>
      <rPr>
        <sz val="12"/>
        <rFont val="新細明體"/>
        <charset val="136"/>
      </rPr>
      <t>境衰</t>
    </r>
    <r>
      <rPr>
        <sz val="12"/>
        <rFont val="宋体"/>
        <charset val="134"/>
      </rPr>
      <t>减</t>
    </r>
    <r>
      <rPr>
        <sz val="12"/>
        <rFont val="新細明體"/>
        <charset val="136"/>
      </rPr>
      <t>系</t>
    </r>
    <r>
      <rPr>
        <sz val="12"/>
        <rFont val="宋体"/>
        <charset val="134"/>
      </rPr>
      <t>数</t>
    </r>
  </si>
  <si>
    <r>
      <rPr>
        <sz val="12"/>
        <rFont val="Times New Roman"/>
        <charset val="134"/>
      </rPr>
      <t>T</t>
    </r>
    <r>
      <rPr>
        <vertAlign val="subscript"/>
        <sz val="12"/>
        <rFont val="Times New Roman"/>
        <charset val="134"/>
      </rPr>
      <t>C</t>
    </r>
    <r>
      <rPr>
        <sz val="12"/>
        <rFont val="Times New Roman"/>
        <charset val="134"/>
      </rPr>
      <t>(</t>
    </r>
    <r>
      <rPr>
        <sz val="12"/>
        <rFont val="新細明體"/>
        <charset val="136"/>
      </rPr>
      <t>℃</t>
    </r>
    <r>
      <rPr>
        <sz val="12"/>
        <rFont val="Times New Roman"/>
        <charset val="134"/>
      </rPr>
      <t>)</t>
    </r>
  </si>
  <si>
    <r>
      <rPr>
        <b/>
        <sz val="12"/>
        <rFont val="新細明體"/>
        <charset val="136"/>
      </rPr>
      <t>密接多</t>
    </r>
    <r>
      <rPr>
        <b/>
        <sz val="12"/>
        <rFont val="宋体"/>
        <charset val="134"/>
      </rPr>
      <t>条布线场合</t>
    </r>
  </si>
  <si>
    <r>
      <rPr>
        <b/>
        <sz val="12"/>
        <rFont val="新細明體"/>
        <charset val="136"/>
      </rPr>
      <t>分</t>
    </r>
    <r>
      <rPr>
        <b/>
        <sz val="12"/>
        <rFont val="宋体"/>
        <charset val="134"/>
      </rPr>
      <t>层堆放布线场合</t>
    </r>
  </si>
  <si>
    <t>60,70,80,90,105</t>
  </si>
  <si>
    <t>电线根数</t>
  </si>
  <si>
    <t>载流量环境衰减系数</t>
  </si>
  <si>
    <r>
      <rPr>
        <sz val="12"/>
        <rFont val="新細明體"/>
        <charset val="136"/>
      </rPr>
      <t>列</t>
    </r>
    <r>
      <rPr>
        <sz val="12"/>
        <rFont val="宋体"/>
        <charset val="134"/>
      </rPr>
      <t>数</t>
    </r>
  </si>
  <si>
    <t>层数</t>
  </si>
  <si>
    <t>****</t>
  </si>
  <si>
    <t>11~15</t>
  </si>
  <si>
    <t>16~20</t>
  </si>
  <si>
    <t>21~30</t>
  </si>
  <si>
    <t>31~40</t>
  </si>
  <si>
    <t>41~50</t>
  </si>
  <si>
    <t>51~60</t>
  </si>
  <si>
    <t>61~70</t>
  </si>
  <si>
    <t>71~100</t>
  </si>
  <si>
    <t>正规绞线结构及外径比</t>
  </si>
  <si>
    <t>单线根数</t>
  </si>
  <si>
    <t>结构</t>
  </si>
  <si>
    <t>外径比    M   (D/d)</t>
  </si>
  <si>
    <t>1+6+12</t>
  </si>
  <si>
    <t>6+12+18</t>
  </si>
  <si>
    <t>4+10+15+21</t>
  </si>
  <si>
    <t>1+6+13</t>
  </si>
  <si>
    <t>1+6+12+18</t>
  </si>
  <si>
    <t>4+10+16+21</t>
  </si>
  <si>
    <t>1+7+13</t>
  </si>
  <si>
    <t>1+7+12+18</t>
  </si>
  <si>
    <t>4+10+16+22</t>
  </si>
  <si>
    <t>1+8+13</t>
  </si>
  <si>
    <t>2+6+12+18</t>
  </si>
  <si>
    <t>5+10+16+22</t>
  </si>
  <si>
    <t>2+8+13</t>
  </si>
  <si>
    <t>1+7+13+19</t>
  </si>
  <si>
    <t>5+10+17+22</t>
  </si>
  <si>
    <t>1+6</t>
  </si>
  <si>
    <t>2+8+14</t>
  </si>
  <si>
    <t>2+7+12+18</t>
  </si>
  <si>
    <t>5+11+17+22</t>
  </si>
  <si>
    <t>1+7</t>
  </si>
  <si>
    <t>3+8+14</t>
  </si>
  <si>
    <t>5+11+17+23</t>
  </si>
  <si>
    <t>1+8</t>
  </si>
  <si>
    <t>3+9+14</t>
  </si>
  <si>
    <t>2+7+12+19</t>
  </si>
  <si>
    <t>6+11+17+23</t>
  </si>
  <si>
    <t>2+8</t>
  </si>
  <si>
    <t>3+9+15</t>
  </si>
  <si>
    <t>2+7+13+19</t>
  </si>
  <si>
    <t>6+12+17+23</t>
  </si>
  <si>
    <t>3+8</t>
  </si>
  <si>
    <t>4+9+15</t>
  </si>
  <si>
    <t>2+8+13+19</t>
  </si>
  <si>
    <t>6+12+18+23</t>
  </si>
  <si>
    <t>3+9</t>
  </si>
  <si>
    <t>4+9+16</t>
  </si>
  <si>
    <t>2+8+14+19</t>
  </si>
  <si>
    <t>6+12+18+24</t>
  </si>
  <si>
    <t>4+9</t>
  </si>
  <si>
    <t>4+10+16</t>
  </si>
  <si>
    <t>2+8+14+20</t>
  </si>
  <si>
    <t>1+6+12+18+24</t>
  </si>
  <si>
    <t>4+10</t>
  </si>
  <si>
    <t>5+10+16</t>
  </si>
  <si>
    <t>3+8+14+20</t>
  </si>
  <si>
    <t>2+6+12+18+24</t>
  </si>
  <si>
    <t>5+10</t>
  </si>
  <si>
    <t>5+11+16</t>
  </si>
  <si>
    <t>3+9+14+20</t>
  </si>
  <si>
    <t>1+7+13+18+24</t>
  </si>
  <si>
    <t>5+11</t>
  </si>
  <si>
    <t>5+11+17</t>
  </si>
  <si>
    <t>3+9+15+20</t>
  </si>
  <si>
    <t>2+7+12+18+24</t>
  </si>
  <si>
    <t>0+6+11</t>
  </si>
  <si>
    <t>6+11+17</t>
  </si>
  <si>
    <t>3+9+15+21</t>
  </si>
  <si>
    <t>2+7+13+18+24</t>
  </si>
  <si>
    <t>0+6+12</t>
  </si>
  <si>
    <t>6+12+17</t>
  </si>
  <si>
    <t>4+9+15+21</t>
  </si>
  <si>
    <t>1+6+12+18+24+30</t>
  </si>
  <si>
    <t>1+6+12+18+24+30+36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</si>
</sst>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_ "/>
    <numFmt numFmtId="177" formatCode="0.00_ "/>
    <numFmt numFmtId="178" formatCode="0.000"/>
    <numFmt numFmtId="179" formatCode="0.000_ "/>
    <numFmt numFmtId="180" formatCode="0.0"/>
    <numFmt numFmtId="181" formatCode="0.0000"/>
  </numFmts>
  <fonts count="33">
    <font>
      <sz val="12"/>
      <name val="新細明體"/>
      <charset val="136"/>
    </font>
    <font>
      <b/>
      <sz val="18"/>
      <name val="新細明體"/>
      <charset val="136"/>
    </font>
    <font>
      <sz val="12"/>
      <name val="宋体"/>
      <charset val="134"/>
    </font>
    <font>
      <sz val="12"/>
      <name val="Times New Roman"/>
      <charset val="134"/>
    </font>
    <font>
      <b/>
      <sz val="12"/>
      <name val="新細明體"/>
      <charset val="136"/>
    </font>
    <font>
      <b/>
      <sz val="18"/>
      <name val="宋体"/>
      <charset val="134"/>
    </font>
    <font>
      <u/>
      <sz val="12"/>
      <color indexed="20"/>
      <name val="新細明體"/>
      <charset val="136"/>
    </font>
    <font>
      <u/>
      <sz val="12"/>
      <color indexed="20"/>
      <name val="宋体"/>
      <charset val="134"/>
    </font>
    <font>
      <b/>
      <sz val="12"/>
      <name val="穝灿砰"/>
      <charset val="134"/>
    </font>
    <font>
      <sz val="12"/>
      <name val="穝灿砰"/>
      <charset val="134"/>
    </font>
    <font>
      <b/>
      <sz val="20"/>
      <name val="穝灿砰"/>
      <charset val="134"/>
    </font>
    <font>
      <sz val="16"/>
      <name val="穝灿砰"/>
      <charset val="134"/>
    </font>
    <font>
      <sz val="12"/>
      <color indexed="60"/>
      <name val="穝灿砰"/>
      <charset val="134"/>
    </font>
    <font>
      <b/>
      <sz val="12"/>
      <color indexed="30"/>
      <name val="新細明體"/>
      <charset val="136"/>
    </font>
    <font>
      <sz val="12"/>
      <color indexed="12"/>
      <name val="新細明體"/>
      <charset val="136"/>
    </font>
    <font>
      <sz val="11"/>
      <name val="新細明體"/>
      <charset val="136"/>
    </font>
    <font>
      <sz val="12"/>
      <color indexed="8"/>
      <name val="宋体"/>
      <charset val="134"/>
    </font>
    <font>
      <b/>
      <sz val="12"/>
      <color indexed="30"/>
      <name val="宋体"/>
      <charset val="134"/>
    </font>
    <font>
      <sz val="12"/>
      <color indexed="8"/>
      <name val="PMingLiU"/>
      <charset val="136"/>
    </font>
    <font>
      <b/>
      <sz val="12"/>
      <color indexed="30"/>
      <name val="PMingLiU"/>
      <charset val="136"/>
    </font>
    <font>
      <u/>
      <sz val="12"/>
      <color indexed="12"/>
      <name val="新細明體"/>
      <charset val="136"/>
    </font>
    <font>
      <sz val="10"/>
      <name val="FuturaA Bk BT"/>
      <charset val="0"/>
    </font>
    <font>
      <u/>
      <sz val="12"/>
      <color indexed="20"/>
      <name val="宋体"/>
      <charset val="136"/>
    </font>
    <font>
      <vertAlign val="subscript"/>
      <sz val="12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b/>
      <vertAlign val="superscript"/>
      <sz val="12"/>
      <name val="穝灿砰"/>
      <charset val="134"/>
    </font>
    <font>
      <sz val="12"/>
      <name val="Calibri"/>
      <charset val="134"/>
    </font>
    <font>
      <vertAlign val="superscript"/>
      <sz val="12"/>
      <name val="宋体"/>
      <charset val="134"/>
    </font>
    <font>
      <vertAlign val="superscript"/>
      <sz val="12"/>
      <name val="新細明體"/>
      <charset val="136"/>
    </font>
    <font>
      <sz val="11"/>
      <name val="宋体"/>
      <charset val="134"/>
    </font>
    <font>
      <vertAlign val="subscript"/>
      <sz val="12"/>
      <color indexed="8"/>
      <name val="PMingLiU"/>
      <charset val="136"/>
    </font>
    <font>
      <b/>
      <vertAlign val="subscript"/>
      <sz val="12"/>
      <color indexed="30"/>
      <name val="PMingLiU"/>
      <charset val="136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17"/>
      </patternFill>
    </fill>
    <fill>
      <patternFill patternType="solid">
        <fgColor indexed="42"/>
        <bgColor indexed="15"/>
      </patternFill>
    </fill>
    <fill>
      <patternFill patternType="solid">
        <fgColor indexed="50"/>
        <bgColor indexed="29"/>
      </patternFill>
    </fill>
    <fill>
      <patternFill patternType="solid">
        <fgColor indexed="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26"/>
      </patternFill>
    </fill>
    <fill>
      <patternFill patternType="solid">
        <fgColor indexed="50"/>
        <bgColor indexed="2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0" xfId="0" applyFont="1" applyBorder="1" applyAlignment="1">
      <alignment horizontal="centerContinuous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/>
    <xf numFmtId="0" fontId="0" fillId="0" borderId="9" xfId="0" applyBorder="1" applyAlignment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/>
    <xf numFmtId="0" fontId="3" fillId="0" borderId="5" xfId="0" applyFont="1" applyBorder="1" applyAlignment="1"/>
    <xf numFmtId="0" fontId="0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2" fillId="0" borderId="5" xfId="0" applyFont="1" applyBorder="1" applyAlignmen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5" xfId="0" applyNumberFormat="1" applyBorder="1" applyAlignmen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3" fontId="0" fillId="0" borderId="5" xfId="0" applyNumberForma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0" xfId="0" applyFill="1" applyAlignment="1"/>
    <xf numFmtId="0" fontId="0" fillId="0" borderId="0" xfId="0" applyAlignment="1">
      <alignment horizontal="center"/>
    </xf>
    <xf numFmtId="0" fontId="5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6" fillId="0" borderId="5" xfId="9" applyFont="1" applyBorder="1" applyAlignment="1" applyProtection="1">
      <alignment horizontal="center" wrapText="1"/>
    </xf>
    <xf numFmtId="0" fontId="7" fillId="0" borderId="5" xfId="9" applyFont="1" applyBorder="1" applyAlignment="1" applyProtection="1">
      <alignment horizontal="center" wrapText="1"/>
    </xf>
    <xf numFmtId="0" fontId="3" fillId="0" borderId="5" xfId="0" applyFont="1" applyBorder="1" applyAlignment="1">
      <alignment horizontal="center" wrapText="1"/>
    </xf>
    <xf numFmtId="176" fontId="3" fillId="0" borderId="5" xfId="0" applyNumberFormat="1" applyFont="1" applyBorder="1" applyAlignment="1">
      <alignment horizontal="center"/>
    </xf>
    <xf numFmtId="177" fontId="0" fillId="0" borderId="5" xfId="0" applyNumberFormat="1" applyBorder="1" applyAlignment="1">
      <alignment horizontal="center"/>
    </xf>
    <xf numFmtId="0" fontId="0" fillId="2" borderId="5" xfId="0" applyFill="1" applyBorder="1" applyAlignment="1"/>
    <xf numFmtId="0" fontId="0" fillId="2" borderId="5" xfId="0" applyFill="1" applyBorder="1" applyAlignment="1">
      <alignment horizontal="center"/>
    </xf>
    <xf numFmtId="176" fontId="3" fillId="2" borderId="5" xfId="0" applyNumberFormat="1" applyFont="1" applyFill="1" applyBorder="1" applyAlignment="1">
      <alignment horizontal="center"/>
    </xf>
    <xf numFmtId="177" fontId="0" fillId="2" borderId="5" xfId="0" applyNumberFormat="1" applyFill="1" applyBorder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2" fontId="0" fillId="0" borderId="5" xfId="0" applyNumberFormat="1" applyBorder="1" applyAlignment="1">
      <alignment horizontal="center"/>
    </xf>
    <xf numFmtId="177" fontId="0" fillId="0" borderId="0" xfId="0" applyNumberFormat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0" borderId="0" xfId="7" applyFont="1" applyAlignment="1"/>
    <xf numFmtId="0" fontId="9" fillId="0" borderId="0" xfId="7" applyAlignment="1">
      <alignment wrapText="1"/>
    </xf>
    <xf numFmtId="0" fontId="9" fillId="0" borderId="0" xfId="7" applyAlignment="1"/>
    <xf numFmtId="0" fontId="10" fillId="3" borderId="20" xfId="7" applyFont="1" applyFill="1" applyBorder="1" applyAlignment="1">
      <alignment horizontal="center"/>
    </xf>
    <xf numFmtId="0" fontId="10" fillId="3" borderId="14" xfId="7" applyFont="1" applyFill="1" applyBorder="1" applyAlignment="1">
      <alignment horizontal="center"/>
    </xf>
    <xf numFmtId="0" fontId="8" fillId="4" borderId="5" xfId="7" applyFont="1" applyFill="1" applyBorder="1" applyAlignment="1">
      <alignment horizontal="center" wrapText="1"/>
    </xf>
    <xf numFmtId="178" fontId="8" fillId="5" borderId="5" xfId="7" applyNumberFormat="1" applyFont="1" applyFill="1" applyBorder="1" applyAlignment="1">
      <alignment horizontal="center"/>
    </xf>
    <xf numFmtId="2" fontId="8" fillId="6" borderId="5" xfId="7" applyNumberFormat="1" applyFont="1" applyFill="1" applyBorder="1" applyAlignment="1">
      <alignment horizontal="center"/>
    </xf>
    <xf numFmtId="2" fontId="8" fillId="7" borderId="5" xfId="7" applyNumberFormat="1" applyFont="1" applyFill="1" applyBorder="1" applyAlignment="1">
      <alignment horizontal="center"/>
    </xf>
    <xf numFmtId="179" fontId="8" fillId="7" borderId="5" xfId="7" applyNumberFormat="1" applyFont="1" applyFill="1" applyBorder="1" applyAlignment="1">
      <alignment horizontal="center"/>
    </xf>
    <xf numFmtId="177" fontId="8" fillId="7" borderId="5" xfId="7" applyNumberFormat="1" applyFont="1" applyFill="1" applyBorder="1" applyAlignment="1">
      <alignment horizontal="center"/>
    </xf>
    <xf numFmtId="2" fontId="8" fillId="8" borderId="5" xfId="7" applyNumberFormat="1" applyFont="1" applyFill="1" applyBorder="1" applyAlignment="1">
      <alignment horizontal="center"/>
    </xf>
    <xf numFmtId="178" fontId="8" fillId="9" borderId="5" xfId="7" applyNumberFormat="1" applyFont="1" applyFill="1" applyBorder="1" applyAlignment="1">
      <alignment horizontal="center"/>
    </xf>
    <xf numFmtId="0" fontId="11" fillId="0" borderId="0" xfId="7" applyFont="1" applyAlignment="1">
      <alignment horizontal="center"/>
    </xf>
    <xf numFmtId="0" fontId="9" fillId="6" borderId="5" xfId="7" applyFill="1" applyBorder="1" applyAlignment="1">
      <alignment horizontal="center" wrapText="1"/>
    </xf>
    <xf numFmtId="0" fontId="9" fillId="0" borderId="5" xfId="7" applyBorder="1" applyAlignment="1">
      <alignment horizontal="center"/>
    </xf>
    <xf numFmtId="177" fontId="9" fillId="0" borderId="5" xfId="7" applyNumberFormat="1" applyBorder="1" applyAlignment="1">
      <alignment horizontal="center"/>
    </xf>
    <xf numFmtId="176" fontId="9" fillId="0" borderId="0" xfId="7" applyNumberFormat="1" applyAlignment="1"/>
    <xf numFmtId="177" fontId="9" fillId="0" borderId="0" xfId="7" applyNumberFormat="1" applyAlignment="1"/>
    <xf numFmtId="0" fontId="12" fillId="0" borderId="0" xfId="7" applyFont="1" applyAlignment="1"/>
    <xf numFmtId="0" fontId="9" fillId="0" borderId="0" xfId="7" applyFont="1" applyAlignment="1"/>
    <xf numFmtId="0" fontId="13" fillId="0" borderId="0" xfId="0" applyFont="1" applyAlignment="1"/>
    <xf numFmtId="0" fontId="5" fillId="10" borderId="14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178" fontId="0" fillId="11" borderId="5" xfId="0" applyNumberFormat="1" applyFill="1" applyBorder="1" applyAlignment="1">
      <alignment horizontal="center"/>
    </xf>
    <xf numFmtId="180" fontId="0" fillId="11" borderId="5" xfId="0" applyNumberFormat="1" applyFill="1" applyBorder="1" applyAlignment="1">
      <alignment horizontal="center"/>
    </xf>
    <xf numFmtId="2" fontId="14" fillId="12" borderId="5" xfId="0" applyNumberFormat="1" applyFont="1" applyFill="1" applyBorder="1" applyAlignment="1">
      <alignment horizontal="center"/>
    </xf>
    <xf numFmtId="178" fontId="0" fillId="2" borderId="5" xfId="0" applyNumberFormat="1" applyFill="1" applyBorder="1" applyAlignment="1">
      <alignment horizontal="center"/>
    </xf>
    <xf numFmtId="180" fontId="0" fillId="2" borderId="5" xfId="0" applyNumberFormat="1" applyFill="1" applyBorder="1" applyAlignment="1">
      <alignment horizontal="center"/>
    </xf>
    <xf numFmtId="2" fontId="14" fillId="2" borderId="5" xfId="0" applyNumberFormat="1" applyFont="1" applyFill="1" applyBorder="1" applyAlignment="1">
      <alignment horizontal="center"/>
    </xf>
    <xf numFmtId="0" fontId="13" fillId="11" borderId="5" xfId="0" applyFont="1" applyFill="1" applyBorder="1" applyAlignment="1">
      <alignment horizontal="center"/>
    </xf>
    <xf numFmtId="178" fontId="13" fillId="11" borderId="5" xfId="0" applyNumberFormat="1" applyFont="1" applyFill="1" applyBorder="1" applyAlignment="1">
      <alignment horizontal="center"/>
    </xf>
    <xf numFmtId="2" fontId="13" fillId="12" borderId="5" xfId="0" applyNumberFormat="1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0" fontId="2" fillId="0" borderId="0" xfId="0" applyFont="1" applyAlignment="1"/>
    <xf numFmtId="178" fontId="14" fillId="12" borderId="5" xfId="0" applyNumberFormat="1" applyFont="1" applyFill="1" applyBorder="1" applyAlignment="1">
      <alignment horizontal="center"/>
    </xf>
    <xf numFmtId="181" fontId="14" fillId="12" borderId="5" xfId="0" applyNumberFormat="1" applyFont="1" applyFill="1" applyBorder="1" applyAlignment="1">
      <alignment horizontal="center"/>
    </xf>
    <xf numFmtId="177" fontId="14" fillId="12" borderId="5" xfId="0" applyNumberFormat="1" applyFont="1" applyFill="1" applyBorder="1" applyAlignment="1"/>
    <xf numFmtId="179" fontId="14" fillId="12" borderId="5" xfId="0" applyNumberFormat="1" applyFont="1" applyFill="1" applyBorder="1" applyAlignment="1"/>
    <xf numFmtId="0" fontId="15" fillId="0" borderId="0" xfId="0" applyFont="1" applyAlignment="1"/>
    <xf numFmtId="0" fontId="16" fillId="0" borderId="4" xfId="0" applyFont="1" applyBorder="1" applyAlignment="1">
      <alignment vertical="top" wrapText="1"/>
    </xf>
    <xf numFmtId="0" fontId="16" fillId="0" borderId="24" xfId="0" applyFont="1" applyBorder="1" applyAlignment="1">
      <alignment horizontal="left" vertical="center"/>
    </xf>
    <xf numFmtId="178" fontId="14" fillId="2" borderId="5" xfId="0" applyNumberFormat="1" applyFont="1" applyFill="1" applyBorder="1" applyAlignment="1">
      <alignment horizontal="center"/>
    </xf>
    <xf numFmtId="181" fontId="14" fillId="2" borderId="5" xfId="0" applyNumberFormat="1" applyFont="1" applyFill="1" applyBorder="1" applyAlignment="1">
      <alignment horizontal="center"/>
    </xf>
    <xf numFmtId="179" fontId="14" fillId="2" borderId="5" xfId="0" applyNumberFormat="1" applyFont="1" applyFill="1" applyBorder="1" applyAlignment="1"/>
    <xf numFmtId="0" fontId="16" fillId="2" borderId="10" xfId="0" applyFont="1" applyFill="1" applyBorder="1" applyAlignment="1">
      <alignment vertical="top" wrapText="1"/>
    </xf>
    <xf numFmtId="2" fontId="14" fillId="2" borderId="5" xfId="0" applyNumberFormat="1" applyFont="1" applyFill="1" applyBorder="1" applyAlignment="1"/>
    <xf numFmtId="0" fontId="16" fillId="2" borderId="4" xfId="0" applyFont="1" applyFill="1" applyBorder="1" applyAlignment="1">
      <alignment vertical="top" wrapText="1"/>
    </xf>
    <xf numFmtId="178" fontId="13" fillId="12" borderId="5" xfId="0" applyNumberFormat="1" applyFont="1" applyFill="1" applyBorder="1" applyAlignment="1">
      <alignment horizontal="center"/>
    </xf>
    <xf numFmtId="181" fontId="13" fillId="12" borderId="5" xfId="0" applyNumberFormat="1" applyFont="1" applyFill="1" applyBorder="1" applyAlignment="1">
      <alignment horizontal="center"/>
    </xf>
    <xf numFmtId="179" fontId="13" fillId="12" borderId="5" xfId="0" applyNumberFormat="1" applyFont="1" applyFill="1" applyBorder="1" applyAlignment="1"/>
    <xf numFmtId="0" fontId="17" fillId="0" borderId="4" xfId="0" applyFont="1" applyBorder="1" applyAlignment="1">
      <alignment vertical="top" wrapText="1"/>
    </xf>
    <xf numFmtId="177" fontId="0" fillId="0" borderId="0" xfId="0" applyNumberFormat="1" applyAlignment="1"/>
    <xf numFmtId="179" fontId="0" fillId="0" borderId="0" xfId="0" applyNumberFormat="1" applyAlignment="1"/>
    <xf numFmtId="0" fontId="18" fillId="0" borderId="5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8" fillId="2" borderId="9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</cellXfs>
  <cellStyles count="10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已访问的超链接" xfId="6" builtinId="9"/>
    <cellStyle name="常规_铜包钢计算表" xfId="7"/>
    <cellStyle name="常规_multi-pairs" xfId="8"/>
    <cellStyle name="超链接" xfId="9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载流量计算!#REF!</c:f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cat>
          <c:val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val>
          <c:smooth val="0"/>
        </c:ser>
        <c:ser>
          <c:idx val="1"/>
          <c:order val="1"/>
          <c:tx>
            <c:strRef>
              <c:f>载流量计算!#REF!</c:f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cat>
          <c:val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val>
          <c:smooth val="0"/>
        </c:ser>
        <c:ser>
          <c:idx val="2"/>
          <c:order val="2"/>
          <c:tx>
            <c:strRef>
              <c:f>载流量计算!#REF!</c:f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cat>
          <c:val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val>
          <c:smooth val="0"/>
        </c:ser>
        <c:ser>
          <c:idx val="3"/>
          <c:order val="3"/>
          <c:tx>
            <c:strRef>
              <c:f>载流量计算!#REF!</c:f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cat>
          <c:val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val>
          <c:smooth val="0"/>
        </c:ser>
        <c:ser>
          <c:idx val="4"/>
          <c:order val="4"/>
          <c:tx>
            <c:strRef>
              <c:f>载流量计算!#REF!</c:f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cat>
          <c:val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val>
          <c:smooth val="0"/>
        </c:ser>
        <c:ser>
          <c:idx val="5"/>
          <c:order val="5"/>
          <c:tx>
            <c:strRef>
              <c:f>载流量计算!#REF!</c:f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cat>
          <c:val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val>
          <c:smooth val="0"/>
        </c:ser>
        <c:ser>
          <c:idx val="6"/>
          <c:order val="6"/>
          <c:tx>
            <c:strRef>
              <c:f>载流量计算!#REF!</c:f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cat>
          <c:val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val>
          <c:smooth val="0"/>
        </c:ser>
        <c:ser>
          <c:idx val="7"/>
          <c:order val="7"/>
          <c:tx>
            <c:strRef>
              <c:f>载流量计算!#REF!</c:f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cat>
          <c:val>
            <c:numRef>
              <c:f>载流量计算!#REF!</c:f>
              <c:numCache>
                <c:ptCount val="1"/>
                <c:pt idx="0">
                  <c:v/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  <c:crossAx val="0"/>
        <c:crosses val="autoZero"/>
        <c:crossBetween val="between"/>
      </c:valAx>
      <c:spPr>
        <a:solidFill>
          <a:srgbClr val="C0C0C0"/>
        </a:solidFill>
        <a:ln w="3175">
          <a:solidFill>
            <a:srgbClr val="808080"/>
          </a:solidFill>
          <a:prstDash val="solid"/>
        </a:ln>
      </c:spPr>
    </c:plotArea>
    <c:legend>
      <c:legendPos val="b"/>
      <c:layout/>
      <c:legendEntry>
        <c:idx val="0"/>
        <c:txPr>
          <a:bodyPr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</c:legendEntry>
      <c:legendEntry>
        <c:idx val="1"/>
        <c:txPr>
          <a:bodyPr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</c:legendEntry>
      <c:legendEntry>
        <c:idx val="2"/>
        <c:txPr>
          <a:bodyPr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</c:legendEntry>
      <c:legendEntry>
        <c:idx val="3"/>
        <c:txPr>
          <a:bodyPr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</c:legendEntry>
      <c:legendEntry>
        <c:idx val="4"/>
        <c:txPr>
          <a:bodyPr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</c:legendEntry>
      <c:legendEntry>
        <c:idx val="5"/>
        <c:txPr>
          <a:bodyPr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</c:legendEntry>
      <c:legendEntry>
        <c:idx val="6"/>
        <c:txPr>
          <a:bodyPr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</c:legendEntry>
      <c:legendEntry>
        <c:idx val="7"/>
        <c:txPr>
          <a:bodyPr/>
          <a:lstStyle/>
          <a:p>
            <a:pPr>
              <a:defRPr sz="226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60" b="0" i="0" u="none" strike="noStrike" baseline="0">
              <a:solidFill>
                <a:srgbClr val="000000"/>
              </a:solidFill>
              <a:latin typeface="宋体"/>
              <a:ea typeface="宋体"/>
              <a:cs typeface="宋体"/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60" b="0" i="0" u="none" strike="noStrike" baseline="0">
          <a:solidFill>
            <a:srgbClr val="000000"/>
          </a:solidFill>
          <a:latin typeface="宋体"/>
          <a:ea typeface="宋体"/>
          <a:cs typeface="宋体"/>
        </a:defRPr>
      </a:pPr>
    </a:p>
  </c:txPr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drawings/drawing2.xml><?xml version="1.0" encoding="utf-8"?>
<xdr:wsDr xmlns:a="http://schemas.openxmlformats.org/drawingml/2006/main" xmlns:xdr="http://schemas.openxmlformats.org/drawingml/2006/spreadsheetDrawing">
  <xdr:twoCellAnchor editAs="twoCell">
    <xdr:from>
      <xdr:col>0</xdr:col>
      <xdr:colOff>188595</xdr:colOff>
      <xdr:row>0</xdr:row>
      <xdr:rowOff>106680</xdr:rowOff>
    </xdr:from>
    <xdr:to>
      <xdr:col>14</xdr:col>
      <xdr:colOff>382905</xdr:colOff>
      <xdr:row>30</xdr:row>
      <xdr:rowOff>84455</xdr:rowOff>
    </xdr:to>
    <xdr:graphicFrame>
      <xdr:nvGraphicFramePr>
        <xdr:cNvPr id="620521" name="Chart 2"/>
        <xdr:cNvGraphicFramePr/>
      </xdr:nvGraphicFramePr>
      <xdr:xfrm>
        <a:off x="188595" y="106680"/>
        <a:ext cx="9795510" cy="6264275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29"/>
  <sheetViews>
    <sheetView zoomScale="75" zoomScaleNormal="75" workbookViewId="0">
      <selection activeCell="G41" sqref="G41"/>
    </sheetView>
  </sheetViews>
  <sheetFormatPr defaultColWidth="9" defaultRowHeight="16.5"/>
  <cols>
    <col min="1" max="1" width="6.25" customWidth="1"/>
    <col min="2" max="2" width="8.375" customWidth="1"/>
    <col min="3" max="3" width="8.5" customWidth="1"/>
    <col min="4" max="4" width="6.5" customWidth="1"/>
    <col min="5" max="6" width="8.375" customWidth="1"/>
    <col min="7" max="7" width="12.625" customWidth="1"/>
    <col min="8" max="8" width="9.625" customWidth="1"/>
    <col min="9" max="9" width="8.375" customWidth="1"/>
    <col min="10" max="10" width="9.16666666666667" customWidth="1"/>
    <col min="11" max="11" width="11" customWidth="1"/>
    <col min="12" max="12" width="10.375" customWidth="1"/>
    <col min="13" max="13" width="10.625" customWidth="1"/>
    <col min="14" max="14" width="12.5" customWidth="1"/>
    <col min="15" max="15" width="3.625" customWidth="1"/>
    <col min="16" max="16" width="22.875" customWidth="1"/>
    <col min="17" max="17" width="4" customWidth="1"/>
    <col min="18" max="22" width="6.5" customWidth="1"/>
  </cols>
  <sheetData>
    <row r="1" ht="25.5" spans="1:1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102"/>
    </row>
    <row r="2" s="45" customFormat="1" ht="36.6" customHeight="1" spans="1:16">
      <c r="A2" s="88" t="s">
        <v>1</v>
      </c>
      <c r="B2" s="88" t="s">
        <v>2</v>
      </c>
      <c r="C2" s="88" t="s">
        <v>3</v>
      </c>
      <c r="D2" s="88" t="s">
        <v>4</v>
      </c>
      <c r="E2" s="88" t="s">
        <v>5</v>
      </c>
      <c r="F2" s="88" t="s">
        <v>6</v>
      </c>
      <c r="G2" s="88" t="s">
        <v>7</v>
      </c>
      <c r="H2" s="89" t="s">
        <v>8</v>
      </c>
      <c r="I2" s="103"/>
      <c r="J2" s="103" t="s">
        <v>9</v>
      </c>
      <c r="K2" s="88" t="s">
        <v>10</v>
      </c>
      <c r="L2" s="88" t="s">
        <v>11</v>
      </c>
      <c r="M2" s="88" t="s">
        <v>12</v>
      </c>
      <c r="N2" s="88" t="s">
        <v>13</v>
      </c>
      <c r="P2" s="104" t="s">
        <v>14</v>
      </c>
    </row>
    <row r="3" s="45" customFormat="1" ht="17.25" spans="1:16">
      <c r="A3" s="90" t="s">
        <v>15</v>
      </c>
      <c r="B3" s="90" t="s">
        <v>16</v>
      </c>
      <c r="C3" s="90" t="s">
        <v>16</v>
      </c>
      <c r="D3" s="90"/>
      <c r="E3" s="91" t="s">
        <v>17</v>
      </c>
      <c r="F3" s="90" t="s">
        <v>18</v>
      </c>
      <c r="G3" s="90" t="s">
        <v>19</v>
      </c>
      <c r="H3" s="90" t="s">
        <v>20</v>
      </c>
      <c r="I3" s="90" t="s">
        <v>21</v>
      </c>
      <c r="J3" s="90" t="s">
        <v>22</v>
      </c>
      <c r="K3" s="90" t="s">
        <v>16</v>
      </c>
      <c r="L3" s="90" t="s">
        <v>23</v>
      </c>
      <c r="M3" s="90" t="s">
        <v>24</v>
      </c>
      <c r="N3" s="90" t="s">
        <v>25</v>
      </c>
      <c r="P3" t="s">
        <v>26</v>
      </c>
    </row>
    <row r="4" spans="1:16">
      <c r="A4" s="92">
        <v>40</v>
      </c>
      <c r="B4" s="93">
        <v>0.2</v>
      </c>
      <c r="C4" s="94">
        <v>11</v>
      </c>
      <c r="D4" s="93">
        <v>1</v>
      </c>
      <c r="E4" s="93">
        <v>1.03</v>
      </c>
      <c r="F4" s="93">
        <v>1.04</v>
      </c>
      <c r="G4" s="93">
        <v>1.05</v>
      </c>
      <c r="H4" s="95">
        <f t="shared" ref="H4:H7" si="0">(B4/25.4*1000)^2*A4</f>
        <v>2480.00496000992</v>
      </c>
      <c r="I4" s="95">
        <f t="shared" ref="I4:I7" si="1">PI()/4*B4^2*A4</f>
        <v>1.25663706143592</v>
      </c>
      <c r="J4" s="95">
        <f t="shared" ref="J4:J7" si="2">49.8813-9.9298*LOG(H4)</f>
        <v>16.1750650748085</v>
      </c>
      <c r="K4" s="105">
        <f t="shared" ref="K4:K7" si="3">((4*A4-1)/3)^0.5*B4</f>
        <v>1.4560219778561</v>
      </c>
      <c r="L4" s="106">
        <f t="shared" ref="L4:L6" si="4">0.785398163*B4*B4*8.9*D4*A4</f>
        <v>11.18406984112</v>
      </c>
      <c r="M4" s="107">
        <f t="shared" ref="M4:M7" si="5">4*17.241/(PI()*B4^2*A4)*E4*F4*G4</f>
        <v>15.4316530644428</v>
      </c>
      <c r="N4" s="108">
        <f t="shared" ref="N4:N7" si="6">226*I4*SQRT(LN((160+234)/(70+234)))/SQRT(0.2)</f>
        <v>323.388072627996</v>
      </c>
      <c r="P4" s="109" t="s">
        <v>27</v>
      </c>
    </row>
    <row r="5" spans="1:14">
      <c r="A5" s="92">
        <v>40</v>
      </c>
      <c r="B5" s="93">
        <v>0.32</v>
      </c>
      <c r="C5" s="94">
        <v>30</v>
      </c>
      <c r="D5" s="93">
        <v>1</v>
      </c>
      <c r="E5" s="93">
        <v>1</v>
      </c>
      <c r="F5" s="93">
        <v>1</v>
      </c>
      <c r="G5" s="93">
        <v>1</v>
      </c>
      <c r="H5" s="95">
        <f>(B5/25.4*1000)^2*A5</f>
        <v>6348.8126976254</v>
      </c>
      <c r="I5" s="95">
        <f>PI()/4*B5^2*A5</f>
        <v>3.21699087727595</v>
      </c>
      <c r="J5" s="95">
        <f>49.8813-9.9298*LOG(H5)</f>
        <v>12.1213238672549</v>
      </c>
      <c r="K5" s="105">
        <f>((4*A5-1)/3)^0.5*B5</f>
        <v>2.32963516456977</v>
      </c>
      <c r="L5" s="106">
        <f>0.785398163*B5*B5*8.9*D5*A5</f>
        <v>28.6312187932672</v>
      </c>
      <c r="M5" s="107">
        <f>4*17.241/(PI()*B5^2*A5)*E5*F5*G5</f>
        <v>5.35935619892064</v>
      </c>
      <c r="N5" s="108">
        <f>226*I5*SQRT(LN((160+234)/(70+234)))/SQRT(0.2)</f>
        <v>827.87346592767</v>
      </c>
    </row>
    <row r="6" spans="1:16">
      <c r="A6" s="92">
        <v>20</v>
      </c>
      <c r="B6" s="93">
        <v>0.45</v>
      </c>
      <c r="C6" s="94">
        <v>30</v>
      </c>
      <c r="D6" s="93">
        <v>1</v>
      </c>
      <c r="E6" s="93">
        <v>1</v>
      </c>
      <c r="F6" s="93">
        <v>1</v>
      </c>
      <c r="G6" s="93">
        <v>1</v>
      </c>
      <c r="H6" s="95">
        <f>(B6/25.4*1000)^2*A6</f>
        <v>6277.51255502511</v>
      </c>
      <c r="I6" s="95">
        <f>PI()/4*B6^2*A6</f>
        <v>3.18086256175967</v>
      </c>
      <c r="J6" s="95">
        <f>49.8813-9.9298*LOG(H6)</f>
        <v>12.1700287890683</v>
      </c>
      <c r="K6" s="105">
        <f>((4*A6-1)/3)^0.5*B6</f>
        <v>2.3092206477511</v>
      </c>
      <c r="L6" s="106">
        <f>0.785398163*B6*B6*8.9*D6*A6</f>
        <v>28.309676785335</v>
      </c>
      <c r="M6" s="107">
        <f>4*17.241/(PI()*B6^2*A6)*E6*F6*G6</f>
        <v>5.42022789895776</v>
      </c>
      <c r="N6" s="108">
        <f>226*I6*SQRT(LN((160+234)/(70+234)))/SQRT(0.2)</f>
        <v>818.576058839615</v>
      </c>
      <c r="P6" t="s">
        <v>28</v>
      </c>
    </row>
    <row r="7" spans="1:22">
      <c r="A7" s="92">
        <v>19</v>
      </c>
      <c r="B7" s="93">
        <v>0.2</v>
      </c>
      <c r="C7" s="94">
        <v>64</v>
      </c>
      <c r="D7" s="93">
        <f>(1+(3.14159265*K7/C7)^2)^0.5</f>
        <v>1.00120406080952</v>
      </c>
      <c r="E7" s="93">
        <v>1</v>
      </c>
      <c r="F7" s="93">
        <v>1</v>
      </c>
      <c r="G7" s="93">
        <v>1.056</v>
      </c>
      <c r="H7" s="95">
        <f>(B7/25.4*1000)^2*A7</f>
        <v>1178.00235600471</v>
      </c>
      <c r="I7" s="95">
        <f>PI()/4*B7^2*A7</f>
        <v>0.596902604182061</v>
      </c>
      <c r="J7" s="95">
        <f>49.8813-9.9298*LOG(H7)</f>
        <v>19.3854328699555</v>
      </c>
      <c r="K7" s="105">
        <f>((4*A7-1)/3)^0.5*B7</f>
        <v>1</v>
      </c>
      <c r="L7" s="106">
        <f>0.785398163*B7*B7*8.89*D7*A7</f>
        <v>5.31285345401154</v>
      </c>
      <c r="M7" s="108">
        <f>4*17.241/(PI()*B7^2*A7)*E7*F7*G7</f>
        <v>30.5016193135034</v>
      </c>
      <c r="N7" s="108">
        <f>226*I7*SQRT(LN((160+234)/(70+234)))/SQRT(0.2)</f>
        <v>153.609334498298</v>
      </c>
      <c r="P7" s="110" t="s">
        <v>29</v>
      </c>
      <c r="Q7" s="124" t="s">
        <v>30</v>
      </c>
      <c r="R7" s="124">
        <v>1</v>
      </c>
      <c r="S7" s="124">
        <v>3</v>
      </c>
      <c r="T7" s="124">
        <v>7</v>
      </c>
      <c r="U7" s="124">
        <v>12</v>
      </c>
      <c r="V7" s="125">
        <v>19</v>
      </c>
    </row>
    <row r="8" ht="17.25" spans="1:16">
      <c r="A8" s="92">
        <v>7</v>
      </c>
      <c r="B8" s="93">
        <v>0.2</v>
      </c>
      <c r="C8" s="94">
        <v>105</v>
      </c>
      <c r="D8" s="93">
        <f t="shared" ref="D8:D12" si="7">(1+(3.14159265*K8/C8)^2)^0.5</f>
        <v>1.00016112341764</v>
      </c>
      <c r="E8" s="93">
        <v>1</v>
      </c>
      <c r="F8" s="93">
        <v>1</v>
      </c>
      <c r="G8" s="93">
        <v>1</v>
      </c>
      <c r="H8" s="95">
        <f t="shared" ref="H8:H12" si="8">(B8/25.4*1000)^2*A8</f>
        <v>434.000868001736</v>
      </c>
      <c r="I8" s="95">
        <f t="shared" ref="I8:I12" si="9">PI()/4*B8^2*A8</f>
        <v>0.219911485751286</v>
      </c>
      <c r="J8" s="95">
        <f t="shared" ref="J8:J12" si="10">49.8813-9.9298*LOG(H8)</f>
        <v>23.6915458589634</v>
      </c>
      <c r="K8" s="105">
        <f t="shared" ref="K8:K12" si="11">((4*A8-1)/3)^0.5*B8</f>
        <v>0.6</v>
      </c>
      <c r="L8" s="106">
        <f t="shared" ref="L8" si="12">0.785398163*B8*B8*8.9*D8*A8</f>
        <v>1.95752757491829</v>
      </c>
      <c r="M8" s="107">
        <f t="shared" ref="M8:M12" si="13">4*17.241/(PI()*B8^2*A8)*E8*F8*G8</f>
        <v>78.3997249670676</v>
      </c>
      <c r="N8" s="108">
        <f t="shared" ref="N8:N17" si="14">226*I8*SQRT(LN((160+234)/(70+234)))/SQRT(0.2)</f>
        <v>56.5929127098993</v>
      </c>
      <c r="P8" t="s">
        <v>31</v>
      </c>
    </row>
    <row r="9" spans="1:22">
      <c r="A9" s="92">
        <v>19</v>
      </c>
      <c r="B9" s="93">
        <v>0.18</v>
      </c>
      <c r="C9" s="94">
        <f t="shared" ref="C9:C10" si="15">K9*18</f>
        <v>16.2</v>
      </c>
      <c r="D9" s="93">
        <f>(1+(3.14159265*K9/C9)^2)^0.5</f>
        <v>1.01511661493104</v>
      </c>
      <c r="E9" s="93">
        <v>1</v>
      </c>
      <c r="F9" s="93">
        <v>1</v>
      </c>
      <c r="G9" s="93">
        <v>1.056</v>
      </c>
      <c r="H9" s="95">
        <f>(B9/25.4*1000)^2*A9</f>
        <v>954.181908363817</v>
      </c>
      <c r="I9" s="95">
        <f>PI()/4*B9^2*A9</f>
        <v>0.483491109387469</v>
      </c>
      <c r="J9" s="95">
        <f>49.8813-9.9298*LOG(H9)</f>
        <v>20.2941583294943</v>
      </c>
      <c r="K9" s="105">
        <f>((4*A9-1)/3)^0.5*B9</f>
        <v>0.9</v>
      </c>
      <c r="L9" s="106">
        <f t="shared" ref="L9:L11" si="16">0.785398163*B9*B9*8.89*D9*A9</f>
        <v>4.36321073817379</v>
      </c>
      <c r="M9" s="108">
        <f>4*17.241/(PI()*B9^2*A9)*E9*F9*G9</f>
        <v>37.6563201401276</v>
      </c>
      <c r="N9" s="108">
        <f>226*I9*SQRT(LN((160+234)/(70+234)))/SQRT(0.2)</f>
        <v>124.423560943622</v>
      </c>
      <c r="P9" s="111" t="s">
        <v>32</v>
      </c>
      <c r="Q9" s="126"/>
      <c r="R9" s="126"/>
      <c r="S9" s="126"/>
      <c r="T9" s="126"/>
      <c r="U9" s="126"/>
      <c r="V9" s="127"/>
    </row>
    <row r="10" ht="19.5" spans="1:22">
      <c r="A10" s="92">
        <v>19</v>
      </c>
      <c r="B10" s="93">
        <v>0.57</v>
      </c>
      <c r="C10" s="94">
        <f>K10*18</f>
        <v>51.3</v>
      </c>
      <c r="D10" s="93">
        <f>(1+(3.14159265*K10/C10)^2)^0.5</f>
        <v>1.01511661493104</v>
      </c>
      <c r="E10" s="93">
        <v>1</v>
      </c>
      <c r="F10" s="93">
        <v>1</v>
      </c>
      <c r="G10" s="93">
        <v>1.056</v>
      </c>
      <c r="H10" s="95">
        <f>(B10/25.4*1000)^2*A10</f>
        <v>9568.32413664827</v>
      </c>
      <c r="I10" s="95">
        <f>PI()/4*B10^2*A10</f>
        <v>4.84834140246879</v>
      </c>
      <c r="J10" s="95">
        <f>49.8813-9.9298*LOG(H10)</f>
        <v>10.3523958881305</v>
      </c>
      <c r="K10" s="105">
        <f>((4*A10-1)/3)^0.5*B10</f>
        <v>2.85</v>
      </c>
      <c r="L10" s="106">
        <f>0.785398163*B10*B10*8.89*D10*A10</f>
        <v>43.7533076800205</v>
      </c>
      <c r="M10" s="108">
        <f>4*17.241/(PI()*B10^2*A10)*E10*F10*G10</f>
        <v>3.75520090040054</v>
      </c>
      <c r="N10" s="108">
        <f>226*I10*SQRT(LN((160+234)/(70+234)))/SQRT(0.2)</f>
        <v>1247.69181946243</v>
      </c>
      <c r="P10" s="110" t="s">
        <v>33</v>
      </c>
      <c r="Q10" s="124" t="s">
        <v>34</v>
      </c>
      <c r="R10" s="124">
        <v>1</v>
      </c>
      <c r="S10" s="124">
        <v>0.871</v>
      </c>
      <c r="T10" s="124">
        <v>0.939</v>
      </c>
      <c r="U10" s="124">
        <v>0.957</v>
      </c>
      <c r="V10" s="125">
        <v>0.97</v>
      </c>
    </row>
    <row r="11" spans="1:14">
      <c r="A11" s="92">
        <v>1</v>
      </c>
      <c r="B11" s="93">
        <v>0.1</v>
      </c>
      <c r="C11" s="94">
        <v>1000</v>
      </c>
      <c r="D11" s="93">
        <f>(1+(3.14159265*K11/C11)^2)^0.5</f>
        <v>1.00000004934802</v>
      </c>
      <c r="E11" s="93">
        <v>1</v>
      </c>
      <c r="F11" s="93">
        <v>1</v>
      </c>
      <c r="G11" s="93">
        <v>1.056</v>
      </c>
      <c r="H11" s="95">
        <f>(B11/25.4*1000)^2*A11</f>
        <v>15.500031000062</v>
      </c>
      <c r="I11" s="95">
        <f>PI()/4*B11^2*A11</f>
        <v>0.00785398163397448</v>
      </c>
      <c r="J11" s="95">
        <f>49.8813-9.9298*LOG(H11)</f>
        <v>38.0615356785853</v>
      </c>
      <c r="K11" s="105">
        <f>((4*A11-1)/3)^0.5*B11</f>
        <v>0.1</v>
      </c>
      <c r="L11" s="106">
        <f>0.785398163*B11*B11*8.89*D11*A11</f>
        <v>0.0698219001362724</v>
      </c>
      <c r="M11" s="108">
        <f>4*17.241/(PI()*B11^2*A11)*E11*F11*G11</f>
        <v>2318.12306782626</v>
      </c>
      <c r="N11" s="108">
        <f>226*I11*SQRT(LN((160+234)/(70+234)))/SQRT(0.2)</f>
        <v>2.02117545392498</v>
      </c>
    </row>
    <row r="12" spans="1:22">
      <c r="A12" s="92">
        <v>19</v>
      </c>
      <c r="B12" s="93">
        <v>0.32</v>
      </c>
      <c r="C12" s="94">
        <f>K12*18</f>
        <v>28.8</v>
      </c>
      <c r="D12" s="93">
        <f>(1+(3.14159265*K12/C12)^2)^0.5</f>
        <v>1.01511661493104</v>
      </c>
      <c r="E12" s="93">
        <v>1</v>
      </c>
      <c r="F12" s="93">
        <v>1</v>
      </c>
      <c r="G12" s="93">
        <v>1</v>
      </c>
      <c r="H12" s="95">
        <f>(B12/25.4*1000)^2*A12</f>
        <v>3015.68603137206</v>
      </c>
      <c r="I12" s="95">
        <f>PI()/4*B12^2*A12</f>
        <v>1.52807066670608</v>
      </c>
      <c r="J12" s="95">
        <f>49.8813-9.9298*LOG(H12)</f>
        <v>15.3316916624019</v>
      </c>
      <c r="K12" s="105">
        <f>((4*A12-1)/3)^0.5*B12</f>
        <v>1.6</v>
      </c>
      <c r="L12" s="106">
        <f>0.785398163*B12*B12*8.9*D12*A12</f>
        <v>13.8054123038164</v>
      </c>
      <c r="M12" s="107">
        <f>4*17.241/(PI()*B12^2*A12)*E12*F12*G12</f>
        <v>11.2828551556224</v>
      </c>
      <c r="N12" s="108">
        <f>226*I12*SQRT(LN((160+234)/(70+234)))/SQRT(0.2)</f>
        <v>393.239896315643</v>
      </c>
      <c r="P12" s="110" t="s">
        <v>29</v>
      </c>
      <c r="Q12" s="124" t="s">
        <v>30</v>
      </c>
      <c r="R12" s="124">
        <v>27</v>
      </c>
      <c r="S12" s="124">
        <v>37</v>
      </c>
      <c r="T12" s="124">
        <v>50</v>
      </c>
      <c r="U12" s="124">
        <v>70</v>
      </c>
      <c r="V12" s="125">
        <v>90</v>
      </c>
    </row>
    <row r="13" s="44" customFormat="1" ht="20.25" spans="1:22">
      <c r="A13" s="55">
        <v>1</v>
      </c>
      <c r="B13" s="96">
        <v>1.38</v>
      </c>
      <c r="C13" s="97">
        <v>998</v>
      </c>
      <c r="D13" s="96">
        <f t="shared" ref="D13:D18" si="17">(1+(3.14159265*K13/C13)^2)^0.5</f>
        <v>1.0000094354972</v>
      </c>
      <c r="E13" s="96">
        <v>1</v>
      </c>
      <c r="F13" s="96">
        <v>1</v>
      </c>
      <c r="G13" s="96">
        <v>1.056</v>
      </c>
      <c r="H13" s="98">
        <f t="shared" ref="H13:H19" si="18">(B13/25.4*1000)^2*A13</f>
        <v>2951.82590365181</v>
      </c>
      <c r="I13" s="98">
        <f t="shared" ref="I13:I19" si="19">PI()/4*B13^2*A13</f>
        <v>1.4957122623741</v>
      </c>
      <c r="J13" s="98">
        <f t="shared" ref="J13:J19" si="20">49.8813-9.9298*LOG(H13)</f>
        <v>15.4239929742913</v>
      </c>
      <c r="K13" s="112">
        <f t="shared" ref="K13:K19" si="21">((4*A13-1)/3)^0.5*B13</f>
        <v>1.38</v>
      </c>
      <c r="L13" s="113">
        <f t="shared" ref="L13:L17" si="22">0.785398163*B13*B13*8.89*D13*A13</f>
        <v>13.2970074684698</v>
      </c>
      <c r="M13" s="114">
        <f t="shared" ref="M13:M19" si="23">4*17.241/(PI()*B13^2*A13)*E13*F13*G13</f>
        <v>12.1724588732738</v>
      </c>
      <c r="N13" s="114">
        <f>226*I13*SQRT(LN((160+234)/(70+234)))/SQRT(0.2)</f>
        <v>384.912653445472</v>
      </c>
      <c r="P13" s="115" t="s">
        <v>33</v>
      </c>
      <c r="Q13" s="128" t="s">
        <v>34</v>
      </c>
      <c r="R13" s="128">
        <v>0.976</v>
      </c>
      <c r="S13" s="128">
        <v>0.98</v>
      </c>
      <c r="T13" s="128">
        <v>0.983</v>
      </c>
      <c r="U13" s="128">
        <v>0.986</v>
      </c>
      <c r="V13" s="129">
        <v>0.988</v>
      </c>
    </row>
    <row r="14" s="44" customFormat="1" spans="1:14">
      <c r="A14" s="55">
        <v>19</v>
      </c>
      <c r="B14" s="96">
        <v>0.32</v>
      </c>
      <c r="C14" s="97">
        <v>999</v>
      </c>
      <c r="D14" s="96">
        <f>(1+(3.14159265*K14/C14)^2)^0.5</f>
        <v>1.00001265831762</v>
      </c>
      <c r="E14" s="96">
        <v>1</v>
      </c>
      <c r="F14" s="96">
        <v>1</v>
      </c>
      <c r="G14" s="96">
        <v>1.056</v>
      </c>
      <c r="H14" s="98">
        <f>(B14/25.4*1000)^2*A14</f>
        <v>3015.68603137206</v>
      </c>
      <c r="I14" s="98">
        <f>PI()/4*B14^2*A14</f>
        <v>1.52807066670608</v>
      </c>
      <c r="J14" s="98">
        <f>49.8813-9.9298*LOG(H14)</f>
        <v>15.3316916624019</v>
      </c>
      <c r="K14" s="112">
        <f>((4*A14-1)/3)^0.5*B14</f>
        <v>1.6</v>
      </c>
      <c r="L14" s="113">
        <f>0.785398163*B14*B14*8.89*D14*A14</f>
        <v>13.5847201776688</v>
      </c>
      <c r="M14" s="114">
        <f>4*17.241/(PI()*B14^2*A14)*E14*F14*G14</f>
        <v>11.9146950443373</v>
      </c>
      <c r="N14" s="114">
        <f>226*I14*SQRT(LN((160+234)/(70+234)))/SQRT(0.2)</f>
        <v>393.239896315643</v>
      </c>
    </row>
    <row r="15" s="44" customFormat="1" spans="1:22">
      <c r="A15" s="55">
        <v>19</v>
      </c>
      <c r="B15" s="96">
        <v>0.15</v>
      </c>
      <c r="C15" s="97">
        <v>1000</v>
      </c>
      <c r="D15" s="96">
        <v>1</v>
      </c>
      <c r="E15" s="96">
        <v>1</v>
      </c>
      <c r="F15" s="96">
        <v>1</v>
      </c>
      <c r="G15" s="96">
        <v>1</v>
      </c>
      <c r="H15" s="98">
        <f>(B15/25.4*1000)^2*A15</f>
        <v>662.626325252651</v>
      </c>
      <c r="I15" s="98">
        <f>PI()/4*B15^2*A15</f>
        <v>0.335757714852409</v>
      </c>
      <c r="J15" s="98">
        <f>49.8813-9.9298*LOG(H15)</f>
        <v>21.8666662035017</v>
      </c>
      <c r="K15" s="112">
        <f>((4*A15-1)/3)^0.5*B15</f>
        <v>0.75</v>
      </c>
      <c r="L15" s="113">
        <f>0.785398163*B15*B15*8.89*D15*A15</f>
        <v>2.98488608352742</v>
      </c>
      <c r="M15" s="116">
        <f>4*17.241/(PI()*B15^2*A15)*E15*F15*G15</f>
        <v>51.3495274638104</v>
      </c>
      <c r="N15" s="114">
        <f>226*I15*SQRT(LN((160+234)/(70+234)))/SQRT(0.2)</f>
        <v>86.4052506552927</v>
      </c>
      <c r="P15" s="117" t="s">
        <v>29</v>
      </c>
      <c r="Q15" s="130" t="s">
        <v>30</v>
      </c>
      <c r="R15" s="130">
        <v>1</v>
      </c>
      <c r="S15" s="130">
        <v>3</v>
      </c>
      <c r="T15" s="130">
        <v>7</v>
      </c>
      <c r="U15" s="130">
        <v>12</v>
      </c>
      <c r="V15" s="131">
        <v>19</v>
      </c>
    </row>
    <row r="16" ht="17.25" spans="1:16">
      <c r="A16" s="55">
        <v>7</v>
      </c>
      <c r="B16" s="96">
        <v>0.25</v>
      </c>
      <c r="C16" s="97">
        <v>10000</v>
      </c>
      <c r="D16" s="96">
        <v>1</v>
      </c>
      <c r="E16" s="96">
        <v>1</v>
      </c>
      <c r="F16" s="96">
        <v>1</v>
      </c>
      <c r="G16" s="96">
        <v>1</v>
      </c>
      <c r="H16" s="98">
        <f>(B16/25.4*1000)^2*A16</f>
        <v>678.126356252713</v>
      </c>
      <c r="I16" s="98">
        <f>PI()/4*B16^2*A16</f>
        <v>0.343611696486384</v>
      </c>
      <c r="J16" s="98">
        <f>49.8813-9.9298*LOG(H16)</f>
        <v>21.7669517646286</v>
      </c>
      <c r="K16" s="112">
        <f>((4*A16-1)/3)^0.5*B16</f>
        <v>0.75</v>
      </c>
      <c r="L16" s="113">
        <f>0.785398163*B16*B16*8.89*D16*A16</f>
        <v>3.05470798021812</v>
      </c>
      <c r="M16" s="116">
        <f>4*17.241/(PI()*B16^2*A16)*E16*F16*G16</f>
        <v>50.1758239789233</v>
      </c>
      <c r="N16" s="114">
        <f>226*I16*SQRT(LN((160+234)/(70+234)))/SQRT(0.2)</f>
        <v>88.4264261092177</v>
      </c>
      <c r="P16" t="s">
        <v>31</v>
      </c>
    </row>
    <row r="17" spans="1:22">
      <c r="A17" s="55">
        <v>11</v>
      </c>
      <c r="B17" s="96">
        <v>0.19</v>
      </c>
      <c r="C17" s="97">
        <v>10000</v>
      </c>
      <c r="D17" s="96">
        <v>1</v>
      </c>
      <c r="E17" s="96">
        <v>1</v>
      </c>
      <c r="F17" s="96">
        <v>1</v>
      </c>
      <c r="G17" s="96">
        <v>1</v>
      </c>
      <c r="H17" s="98">
        <f>(B17/25.4*1000)^2*A17</f>
        <v>615.506231012462</v>
      </c>
      <c r="I17" s="98">
        <f>PI()/4*B17^2*A17</f>
        <v>0.311881610685127</v>
      </c>
      <c r="J17" s="98">
        <f>49.8813-9.9298*LOG(H17)</f>
        <v>22.1847795800184</v>
      </c>
      <c r="K17" s="112">
        <f>((4*A17-1)/3)^0.5*B17</f>
        <v>0.719328390468035</v>
      </c>
      <c r="L17" s="113">
        <f>0.785398163*B17*B17*8.89*D17*A17</f>
        <v>2.7726275175877</v>
      </c>
      <c r="M17" s="116">
        <f>4*17.241/(PI()*B17^2*A17)*E17*F17*G17</f>
        <v>55.28059176726</v>
      </c>
      <c r="N17" s="114">
        <f>226*I17*SQRT(LN((160+234)/(70+234)))/SQRT(0.2)</f>
        <v>80.2608772753608</v>
      </c>
      <c r="P17" s="111" t="s">
        <v>32</v>
      </c>
      <c r="Q17" s="126"/>
      <c r="R17" s="126"/>
      <c r="S17" s="126"/>
      <c r="T17" s="126"/>
      <c r="U17" s="126"/>
      <c r="V17" s="127"/>
    </row>
    <row r="18" s="85" customFormat="1" ht="19.5" spans="1:22">
      <c r="A18" s="99">
        <v>20</v>
      </c>
      <c r="B18" s="100">
        <v>0.08</v>
      </c>
      <c r="C18" s="94">
        <v>1000</v>
      </c>
      <c r="D18" s="100">
        <f t="shared" ref="D16:D19" si="24">(1+(3.14159265*K18/C18)^2)^0.5</f>
        <v>1.00000083167832</v>
      </c>
      <c r="E18" s="100">
        <v>1</v>
      </c>
      <c r="F18" s="100">
        <v>1</v>
      </c>
      <c r="G18" s="100">
        <v>1.056</v>
      </c>
      <c r="H18" s="101">
        <f>(B18/25.4*1000)^2*A18</f>
        <v>198.400396800794</v>
      </c>
      <c r="I18" s="101">
        <f>PI()/4*B18^2*A18</f>
        <v>0.100530964914873</v>
      </c>
      <c r="J18" s="101">
        <f>49.8813-9.9298*LOG(H18)</f>
        <v>27.0671621219759</v>
      </c>
      <c r="K18" s="118">
        <f>((4*A18-1)/3)^0.5*B18</f>
        <v>0.410528115155751</v>
      </c>
      <c r="L18" s="119">
        <f t="shared" ref="L17:L19" si="25">0.785398163*B18*B18*8.89*D18*A18</f>
        <v>0.893721020928736</v>
      </c>
      <c r="M18" s="120">
        <f>4*17.241/(PI()*B18^2*A18)*E18*F18*G18</f>
        <v>181.103364673926</v>
      </c>
      <c r="N18" s="120">
        <f t="shared" ref="N16:N19" si="26">226*I18*SQRT(LN((160+234)/(70+234)))/SQRT(0.2)</f>
        <v>25.8710458102397</v>
      </c>
      <c r="P18" s="121" t="s">
        <v>35</v>
      </c>
      <c r="Q18" s="132" t="s">
        <v>36</v>
      </c>
      <c r="R18" s="132">
        <v>1</v>
      </c>
      <c r="S18" s="132">
        <v>0.871</v>
      </c>
      <c r="T18" s="132">
        <v>0.939</v>
      </c>
      <c r="U18" s="132">
        <v>0.957</v>
      </c>
      <c r="V18" s="133">
        <v>0.97</v>
      </c>
    </row>
    <row r="19" spans="1:14">
      <c r="A19" s="99">
        <v>11</v>
      </c>
      <c r="B19" s="100">
        <v>0.19</v>
      </c>
      <c r="C19" s="94">
        <v>15</v>
      </c>
      <c r="D19" s="100">
        <f>(1+(3.14159265*K19/C19)^2)^0.5</f>
        <v>1.0112849082941</v>
      </c>
      <c r="E19" s="100">
        <v>1</v>
      </c>
      <c r="F19" s="100">
        <v>1</v>
      </c>
      <c r="G19" s="100">
        <v>1</v>
      </c>
      <c r="H19" s="101">
        <f>(B19/25.4*1000)^2*A19</f>
        <v>615.506231012462</v>
      </c>
      <c r="I19" s="101">
        <f>PI()/4*B19^2*A19</f>
        <v>0.311881610685127</v>
      </c>
      <c r="J19" s="101">
        <f>49.8813-9.9298*LOG(H19)</f>
        <v>22.1847795800184</v>
      </c>
      <c r="K19" s="118">
        <f>((4*A19-1)/3)^0.5*B19</f>
        <v>0.719328390468035</v>
      </c>
      <c r="L19" s="119">
        <f>0.785398163*B19*B19*8.89*D19*A19</f>
        <v>2.80391636485737</v>
      </c>
      <c r="M19" s="120">
        <f>4*17.241/(PI()*B19^2*A19)*E19*F19*G19</f>
        <v>55.28059176726</v>
      </c>
      <c r="N19" s="120">
        <f>226*I19*SQRT(LN((160+234)/(70+234)))/SQRT(0.2)</f>
        <v>80.2608772753608</v>
      </c>
    </row>
    <row r="20" spans="2:11">
      <c r="B20" t="s">
        <v>37</v>
      </c>
      <c r="K20" s="122"/>
    </row>
    <row r="21" spans="2:11">
      <c r="B21" t="s">
        <v>38</v>
      </c>
      <c r="K21" s="123"/>
    </row>
    <row r="22" spans="2:2">
      <c r="B22" t="s">
        <v>39</v>
      </c>
    </row>
    <row r="24" spans="2:2">
      <c r="B24" t="s">
        <v>40</v>
      </c>
    </row>
    <row r="25" spans="2:2">
      <c r="B25" t="s">
        <v>41</v>
      </c>
    </row>
    <row r="26" spans="2:2">
      <c r="B26" t="s">
        <v>42</v>
      </c>
    </row>
    <row r="27" spans="2:2">
      <c r="B27" t="s">
        <v>43</v>
      </c>
    </row>
    <row r="28" spans="2:2">
      <c r="B28" t="s">
        <v>44</v>
      </c>
    </row>
    <row r="29" spans="2:2">
      <c r="B29" t="s">
        <v>45</v>
      </c>
    </row>
  </sheetData>
  <mergeCells count="4">
    <mergeCell ref="A1:M1"/>
    <mergeCell ref="H2:I2"/>
    <mergeCell ref="P9:V9"/>
    <mergeCell ref="P17:V17"/>
  </mergeCells>
  <pageMargins left="0.75" right="0.75" top="1" bottom="1" header="0.5" footer="0.5"/>
  <pageSetup paperSize="9" orientation="portrait" horizontalDpi="300" verticalDpi="300"/>
  <headerFooter alignWithMargins="0">
    <oddHeader>&amp;C&amp;A</oddHeader>
    <oddFooter>&amp;C第 &amp;P 頁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3"/>
  <sheetViews>
    <sheetView topLeftCell="A5" workbookViewId="0">
      <selection activeCell="D28" sqref="D28"/>
    </sheetView>
  </sheetViews>
  <sheetFormatPr defaultColWidth="9" defaultRowHeight="14.25"/>
  <cols>
    <col min="1" max="1" width="8.125" style="66" customWidth="1"/>
    <col min="2" max="2" width="8.25" style="66" customWidth="1"/>
    <col min="3" max="3" width="11.75" style="66" customWidth="1"/>
    <col min="4" max="4" width="13.25" style="66" customWidth="1"/>
    <col min="5" max="5" width="11.75" style="66" customWidth="1"/>
    <col min="6" max="6" width="9.375" style="66" customWidth="1"/>
    <col min="7" max="8" width="12.75" style="66" customWidth="1"/>
    <col min="9" max="16384" width="9" style="66"/>
  </cols>
  <sheetData>
    <row r="1" s="64" customFormat="1" ht="28.5" customHeight="1" spans="1:8">
      <c r="A1" s="67" t="s">
        <v>46</v>
      </c>
      <c r="B1" s="68"/>
      <c r="C1" s="68"/>
      <c r="D1" s="68"/>
      <c r="E1" s="68"/>
      <c r="F1" s="68"/>
      <c r="G1" s="68"/>
      <c r="H1" s="68"/>
    </row>
    <row r="2" s="65" customFormat="1" ht="30.75" spans="1:8">
      <c r="A2" s="69" t="s">
        <v>47</v>
      </c>
      <c r="B2" s="69" t="s">
        <v>48</v>
      </c>
      <c r="C2" s="69" t="s">
        <v>49</v>
      </c>
      <c r="D2" s="69" t="s">
        <v>50</v>
      </c>
      <c r="E2" s="69" t="s">
        <v>51</v>
      </c>
      <c r="F2" s="69" t="s">
        <v>52</v>
      </c>
      <c r="G2" s="69" t="s">
        <v>53</v>
      </c>
      <c r="H2" s="69" t="s">
        <v>54</v>
      </c>
    </row>
    <row r="3" spans="1:9">
      <c r="A3" s="70">
        <v>0.6</v>
      </c>
      <c r="B3" s="71">
        <v>0.3</v>
      </c>
      <c r="C3" s="72">
        <f t="shared" ref="C3:C7" si="0">(1-(1-(B3-0.134265)/(1-0.134265))^0.5)/2*A3*1000</f>
        <v>30.2398546513447</v>
      </c>
      <c r="D3" s="73">
        <f t="shared" ref="D3:D7" si="1">PI()/4*(A3*A3-(A3-C3/1000)^2)*8.89</f>
        <v>0.246983625984514</v>
      </c>
      <c r="E3" s="74">
        <f>PI()/4*(A3-C3*2/1000)^2*7.8</f>
        <v>1.78319997455806</v>
      </c>
      <c r="F3" s="75">
        <f>D3+E3</f>
        <v>2.03018360054258</v>
      </c>
      <c r="G3" s="75">
        <f t="shared" ref="G3:G15" si="2">F3/(PI()/4*A3*A3)</f>
        <v>7.18030567578784</v>
      </c>
      <c r="H3" s="75">
        <f>17.241*4/(PI()*A3^2)/B3</f>
        <v>203.258546210916</v>
      </c>
      <c r="I3" s="83"/>
    </row>
    <row r="4" spans="1:8">
      <c r="A4" s="70">
        <v>0.6</v>
      </c>
      <c r="B4" s="71">
        <v>0.19</v>
      </c>
      <c r="C4" s="72">
        <f>(1-(1-(B4-0.134265)/(1-0.134265))^0.5)/2*A4*1000</f>
        <v>9.81746095897459</v>
      </c>
      <c r="D4" s="73">
        <f>PI()/4*(A4*A4-(A4-C4/1000)^2)*8.89</f>
        <v>0.0815838882495469</v>
      </c>
      <c r="E4" s="74">
        <f t="shared" ref="E4:E15" si="3">PI()/4*(A4-C4*2/1000)^2*7.8</f>
        <v>2.06341711341719</v>
      </c>
      <c r="F4" s="75">
        <f t="shared" ref="F4:F15" si="4">D4+E4</f>
        <v>2.14500100166673</v>
      </c>
      <c r="G4" s="75">
        <f>F4/(PI()/4*A4*A4)</f>
        <v>7.58638916338506</v>
      </c>
      <c r="H4" s="75">
        <f t="shared" ref="H4:H15" si="5">17.241*4/(PI()*A4^2)/B4</f>
        <v>320.934546648815</v>
      </c>
    </row>
    <row r="5" spans="1:8">
      <c r="A5" s="70">
        <v>0.46</v>
      </c>
      <c r="B5" s="71">
        <v>0.25</v>
      </c>
      <c r="C5" s="72">
        <f>(1-(1-(B5-0.134265)/(1-0.134265))^0.5)/2*A5*1000</f>
        <v>15.9249865734613</v>
      </c>
      <c r="D5" s="73">
        <f>PI()/4*(A5*A5-(A5-C5/1000)^2)*8.89</f>
        <v>0.100525255056442</v>
      </c>
      <c r="E5" s="74">
        <f>PI()/4*(A5-C5*2/1000)^2*7.8</f>
        <v>1.12299141254907</v>
      </c>
      <c r="F5" s="75">
        <f>D5+E5</f>
        <v>1.22351666760551</v>
      </c>
      <c r="G5" s="75">
        <f>F5/(PI()/4*A5*A5)</f>
        <v>7.36214463533989</v>
      </c>
      <c r="H5" s="75">
        <f>17.241*4/(PI()*A5^2)/B5</f>
        <v>414.970188861606</v>
      </c>
    </row>
    <row r="6" spans="1:8">
      <c r="A6" s="70">
        <v>1</v>
      </c>
      <c r="B6" s="71">
        <v>0.25</v>
      </c>
      <c r="C6" s="72">
        <f>(1-(1-(B6-0.134265)/(1-0.134265))^0.5)/2*A6*1000</f>
        <v>34.6195360292636</v>
      </c>
      <c r="D6" s="73">
        <f>PI()/4*(A6*A6-(A6-C6/1000)^2)*8.89</f>
        <v>0.47507209383952</v>
      </c>
      <c r="E6" s="74">
        <f>PI()/4*(A6-C6*2/1000)^2*7.8</f>
        <v>5.30714278142281</v>
      </c>
      <c r="F6" s="75">
        <f>D6+E6</f>
        <v>5.78221487526233</v>
      </c>
      <c r="G6" s="75">
        <f>F6/(PI()/4*A6*A6)</f>
        <v>7.36214463533989</v>
      </c>
      <c r="H6" s="75">
        <f>17.241*4/(PI()*A6^2)/B6</f>
        <v>87.8076919631158</v>
      </c>
    </row>
    <row r="7" spans="1:8">
      <c r="A7" s="70">
        <v>1</v>
      </c>
      <c r="B7" s="71">
        <v>0.25</v>
      </c>
      <c r="C7" s="72">
        <f>(1-(1-(B7-0.134265)/(1-0.134265))^0.5)/2*A7*1000</f>
        <v>34.6195360292636</v>
      </c>
      <c r="D7" s="73">
        <f>PI()/4*(A7*A7-(A7-C7/1000)^2)*8.89</f>
        <v>0.47507209383952</v>
      </c>
      <c r="E7" s="74">
        <f>PI()/4*(A7-C7*2/1000)^2*7.8</f>
        <v>5.30714278142281</v>
      </c>
      <c r="F7" s="75">
        <f>D7+E7</f>
        <v>5.78221487526233</v>
      </c>
      <c r="G7" s="75">
        <f>F7/(PI()/4*A7*A7)</f>
        <v>7.36214463533989</v>
      </c>
      <c r="H7" s="75">
        <f>17.241*4/(PI()*A7^2)/B7</f>
        <v>87.8076919631158</v>
      </c>
    </row>
    <row r="8" spans="1:8">
      <c r="A8" s="70">
        <v>1</v>
      </c>
      <c r="B8" s="71">
        <v>0.3</v>
      </c>
      <c r="C8" s="72">
        <f t="shared" ref="C8:C15" si="6">(1-(1-(B8-0.134265)/(1-0.134265))^0.5)/2*A8*1000</f>
        <v>50.3997577522412</v>
      </c>
      <c r="D8" s="73">
        <f t="shared" ref="D8:D15" si="7">PI()/4*(A8*A8-(A8-C8/1000)^2)*8.89</f>
        <v>0.686065627734762</v>
      </c>
      <c r="E8" s="74">
        <f>PI()/4*(A8-C8*2/1000)^2*7.8</f>
        <v>4.95333326266129</v>
      </c>
      <c r="F8" s="75">
        <f>D8+E8</f>
        <v>5.63939889039605</v>
      </c>
      <c r="G8" s="75">
        <f>F8/(PI()/4*A8*A8)</f>
        <v>7.18030567578785</v>
      </c>
      <c r="H8" s="75">
        <f>17.241*4/(PI()*A8^2)/B8</f>
        <v>73.1730766359298</v>
      </c>
    </row>
    <row r="9" spans="1:8">
      <c r="A9" s="70">
        <v>1</v>
      </c>
      <c r="B9" s="71">
        <v>0.3</v>
      </c>
      <c r="C9" s="72">
        <f>(1-(1-(B9-0.134265)/(1-0.134265))^0.5)/2*A9*1000</f>
        <v>50.3997577522412</v>
      </c>
      <c r="D9" s="73">
        <f>PI()/4*(A9*A9-(A9-C9/1000)^2)*8.89</f>
        <v>0.686065627734762</v>
      </c>
      <c r="E9" s="74">
        <f>PI()/4*(A9-C9*2/1000)^2*7.8</f>
        <v>4.95333326266129</v>
      </c>
      <c r="F9" s="75">
        <f>D9+E9</f>
        <v>5.63939889039605</v>
      </c>
      <c r="G9" s="75">
        <f>F9/(PI()/4*A9*A9)</f>
        <v>7.18030567578785</v>
      </c>
      <c r="H9" s="75">
        <f>17.241*4/(PI()*A9^2)/B9</f>
        <v>73.1730766359298</v>
      </c>
    </row>
    <row r="10" spans="1:10">
      <c r="A10" s="76">
        <v>1</v>
      </c>
      <c r="B10" s="71">
        <v>0.25</v>
      </c>
      <c r="C10" s="72">
        <f>(1-(1-(B10-0.134265)/(1-0.134265))^0.5)/2*A10*1000</f>
        <v>34.6195360292636</v>
      </c>
      <c r="D10" s="73">
        <f>PI()/4*(A10*A10-(A10-C10/1000)^2)*8.89</f>
        <v>0.47507209383952</v>
      </c>
      <c r="E10" s="74">
        <f>PI()/4*(A10-C10*2/1000)^2*7.8</f>
        <v>5.30714278142281</v>
      </c>
      <c r="F10" s="75">
        <f>D10+E10</f>
        <v>5.78221487526233</v>
      </c>
      <c r="G10" s="75">
        <f>F10/(PI()/4*A10*A10)</f>
        <v>7.36214463533989</v>
      </c>
      <c r="H10" s="75">
        <f>17.241*4/(PI()*A10^2)/B10</f>
        <v>87.8076919631158</v>
      </c>
      <c r="J10" s="84"/>
    </row>
    <row r="11" spans="1:8">
      <c r="A11" s="76">
        <v>1</v>
      </c>
      <c r="B11" s="71">
        <v>0.3</v>
      </c>
      <c r="C11" s="72">
        <f>(1-(1-(B11-0.134265)/(1-0.134265))^0.5)/2*A11*1000</f>
        <v>50.3997577522412</v>
      </c>
      <c r="D11" s="73">
        <f>PI()/4*(A11*A11-(A11-C11/1000)^2)*8.89</f>
        <v>0.686065627734762</v>
      </c>
      <c r="E11" s="74">
        <f>PI()/4*(A11-C11*2/1000)^2*7.8</f>
        <v>4.95333326266129</v>
      </c>
      <c r="F11" s="75">
        <f>D11+E11</f>
        <v>5.63939889039605</v>
      </c>
      <c r="G11" s="75">
        <f>F11/(PI()/4*A11*A11)</f>
        <v>7.18030567578785</v>
      </c>
      <c r="H11" s="75">
        <f>17.241*4/(PI()*A11^2)/B11</f>
        <v>73.1730766359298</v>
      </c>
    </row>
    <row r="12" spans="1:8">
      <c r="A12" s="76">
        <v>1</v>
      </c>
      <c r="B12" s="71">
        <v>0.3</v>
      </c>
      <c r="C12" s="72">
        <f>(1-(1-(B12-0.134265)/(1-0.134265))^0.5)/2*A12*1000</f>
        <v>50.3997577522412</v>
      </c>
      <c r="D12" s="73">
        <f>PI()/4*(A12*A12-(A12-C12/1000)^2)*8.89</f>
        <v>0.686065627734762</v>
      </c>
      <c r="E12" s="74">
        <f>PI()/4*(A12-C12*2/1000)^2*7.8</f>
        <v>4.95333326266129</v>
      </c>
      <c r="F12" s="75">
        <f>D12+E12</f>
        <v>5.63939889039605</v>
      </c>
      <c r="G12" s="75">
        <f>F12/(PI()/4*A12*A12)</f>
        <v>7.18030567578785</v>
      </c>
      <c r="H12" s="75">
        <f>17.241*4/(PI()*A12^2)/B12</f>
        <v>73.1730766359298</v>
      </c>
    </row>
    <row r="13" spans="1:8">
      <c r="A13" s="76">
        <v>1</v>
      </c>
      <c r="B13" s="71">
        <v>0.3</v>
      </c>
      <c r="C13" s="72">
        <f>(1-(1-(B13-0.134265)/(1-0.134265))^0.5)/2*A13*1000</f>
        <v>50.3997577522412</v>
      </c>
      <c r="D13" s="73">
        <f>PI()/4*(A13*A13-(A13-C13/1000)^2)*8.89</f>
        <v>0.686065627734762</v>
      </c>
      <c r="E13" s="74">
        <f>PI()/4*(A13-C13*2/1000)^2*7.8</f>
        <v>4.95333326266129</v>
      </c>
      <c r="F13" s="75">
        <f>D13+E13</f>
        <v>5.63939889039605</v>
      </c>
      <c r="G13" s="75">
        <f>F13/(PI()/4*A13*A13)</f>
        <v>7.18030567578785</v>
      </c>
      <c r="H13" s="75">
        <f>17.241*4/(PI()*A13^2)/B13</f>
        <v>73.1730766359298</v>
      </c>
    </row>
    <row r="14" spans="1:8">
      <c r="A14" s="76">
        <v>1</v>
      </c>
      <c r="B14" s="71">
        <v>0.3</v>
      </c>
      <c r="C14" s="72">
        <f>(1-(1-(B14-0.134265)/(1-0.134265))^0.5)/2*A14*1000</f>
        <v>50.3997577522412</v>
      </c>
      <c r="D14" s="73">
        <f>PI()/4*(A14*A14-(A14-C14/1000)^2)*8.89</f>
        <v>0.686065627734762</v>
      </c>
      <c r="E14" s="74">
        <f>PI()/4*(A14-C14*2/1000)^2*7.8</f>
        <v>4.95333326266129</v>
      </c>
      <c r="F14" s="75">
        <f>D14+E14</f>
        <v>5.63939889039605</v>
      </c>
      <c r="G14" s="75">
        <f>F14/(PI()/4*A14*A14)</f>
        <v>7.18030567578785</v>
      </c>
      <c r="H14" s="75">
        <f>17.241*4/(PI()*A14^2)/B14</f>
        <v>73.1730766359298</v>
      </c>
    </row>
    <row r="15" spans="1:8">
      <c r="A15" s="76">
        <v>1</v>
      </c>
      <c r="B15" s="71">
        <v>0.3</v>
      </c>
      <c r="C15" s="72">
        <f>(1-(1-(B15-0.134265)/(1-0.134265))^0.5)/2*A15*1000</f>
        <v>50.3997577522412</v>
      </c>
      <c r="D15" s="73">
        <f>PI()/4*(A15*A15-(A15-C15/1000)^2)*8.89</f>
        <v>0.686065627734762</v>
      </c>
      <c r="E15" s="74">
        <f>PI()/4*(A15-C15*2/1000)^2*7.8</f>
        <v>4.95333326266129</v>
      </c>
      <c r="F15" s="75">
        <f>D15+E15</f>
        <v>5.63939889039605</v>
      </c>
      <c r="G15" s="75">
        <f>F15/(PI()/4*A15*A15)</f>
        <v>7.18030567578785</v>
      </c>
      <c r="H15" s="75">
        <f>17.241*4/(PI()*A15^2)/B15</f>
        <v>73.1730766359298</v>
      </c>
    </row>
    <row r="17" ht="20.25" spans="1:4">
      <c r="A17" s="77" t="s">
        <v>55</v>
      </c>
      <c r="B17" s="77"/>
      <c r="C17" s="77"/>
      <c r="D17" s="77"/>
    </row>
    <row r="18" s="65" customFormat="1" ht="30" spans="1:4">
      <c r="A18" s="78" t="s">
        <v>56</v>
      </c>
      <c r="B18" s="78" t="s">
        <v>57</v>
      </c>
      <c r="C18" s="78" t="s">
        <v>58</v>
      </c>
      <c r="D18" s="78" t="s">
        <v>59</v>
      </c>
    </row>
    <row r="19" spans="1:7">
      <c r="A19" s="79">
        <v>1.17</v>
      </c>
      <c r="B19" s="79">
        <v>0.5</v>
      </c>
      <c r="C19" s="79">
        <v>4.5</v>
      </c>
      <c r="D19" s="80">
        <f>(B19-(B19^2-4*B19^2*(A19*C19/1000-C19^2/1000000)/A19^2)^0.5)/2*1000</f>
        <v>1.92307692307692</v>
      </c>
      <c r="E19" s="81"/>
      <c r="G19" s="82"/>
    </row>
    <row r="20" spans="1:7">
      <c r="A20" s="79">
        <v>1.17</v>
      </c>
      <c r="B20" s="79">
        <v>0.45</v>
      </c>
      <c r="C20" s="79">
        <v>1.30000000000003</v>
      </c>
      <c r="D20" s="80">
        <f t="shared" ref="D20:D23" si="8">(B20-(B20^2-4*B20^2*(A20*C20/1000-C20^2/1000000)/A20^2)^0.5)/2*1000</f>
        <v>0.5</v>
      </c>
      <c r="E20" s="81"/>
      <c r="G20" s="82"/>
    </row>
    <row r="21" spans="1:7">
      <c r="A21" s="79">
        <v>1.17</v>
      </c>
      <c r="B21" s="79">
        <v>0.45</v>
      </c>
      <c r="C21" s="79">
        <v>5</v>
      </c>
      <c r="D21" s="80">
        <f>(B21-(B21^2-4*B21^2*(A21*C21/1000-C21^2/1000000)/A21^2)^0.5)/2*1000</f>
        <v>1.92307692307692</v>
      </c>
      <c r="E21" s="81"/>
      <c r="G21" s="82"/>
    </row>
    <row r="22" spans="1:7">
      <c r="A22" s="79">
        <v>1.17</v>
      </c>
      <c r="B22" s="79">
        <v>0.5</v>
      </c>
      <c r="C22" s="79">
        <v>4.5</v>
      </c>
      <c r="D22" s="80">
        <f>(B22-(B22^2-4*B22^2*(A22*C22/1000-C22^2/1000000)/A22^2)^0.5)/2*1000</f>
        <v>1.92307692307692</v>
      </c>
      <c r="E22" s="81"/>
      <c r="G22" s="82"/>
    </row>
    <row r="23" spans="1:7">
      <c r="A23" s="79">
        <v>1.17</v>
      </c>
      <c r="B23" s="79">
        <v>0.45</v>
      </c>
      <c r="C23" s="79">
        <v>4.5</v>
      </c>
      <c r="D23" s="80">
        <f>(B23-(B23^2-4*B23^2*(A23*C23/1000-C23^2/1000000)/A23^2)^0.5)/2*1000</f>
        <v>1.73076923076923</v>
      </c>
      <c r="E23" s="81"/>
      <c r="G23" s="82"/>
    </row>
  </sheetData>
  <mergeCells count="2">
    <mergeCell ref="A1:H1"/>
    <mergeCell ref="A17:D17"/>
  </mergeCells>
  <printOptions horizontalCentered="1"/>
  <pageMargins left="0.235416666666667" right="0.235416666666667" top="0.699305555555556" bottom="0.354166666666667" header="0.393055555555556" footer="0.235416666666667"/>
  <pageSetup paperSize="9" orientation="portrait" horizontalDpi="300" verticalDpi="300"/>
  <headerFooter alignWithMargins="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"/>
  <sheetViews>
    <sheetView workbookViewId="0">
      <selection activeCell="A12" sqref="$A12:$XFD16"/>
    </sheetView>
  </sheetViews>
  <sheetFormatPr defaultColWidth="9" defaultRowHeight="16.5"/>
  <cols>
    <col min="1" max="1" width="12.75" customWidth="1"/>
    <col min="2" max="2" width="14.5" style="45" customWidth="1"/>
    <col min="3" max="3" width="15.25" style="45" customWidth="1"/>
    <col min="4" max="4" width="12.875" style="45" customWidth="1"/>
    <col min="5" max="5" width="15.75" style="45" customWidth="1"/>
    <col min="6" max="6" width="11" style="45" customWidth="1"/>
    <col min="7" max="7" width="10.75" style="45" customWidth="1"/>
    <col min="8" max="9" width="9.125" style="45" customWidth="1"/>
    <col min="10" max="10" width="16.125" style="45" customWidth="1"/>
    <col min="11" max="11" width="9" style="45"/>
    <col min="12" max="12" width="12.625" style="45"/>
  </cols>
  <sheetData>
    <row r="1" ht="22.5" spans="1:10">
      <c r="A1" s="46" t="s">
        <v>60</v>
      </c>
      <c r="B1" s="47"/>
      <c r="C1" s="47"/>
      <c r="D1" s="47"/>
      <c r="E1" s="47"/>
      <c r="F1" s="47"/>
      <c r="G1" s="47"/>
      <c r="H1" s="47"/>
      <c r="I1" s="47"/>
      <c r="J1" s="47"/>
    </row>
    <row r="2" ht="36.75" spans="1:12">
      <c r="A2" s="48" t="s">
        <v>61</v>
      </c>
      <c r="B2" s="49" t="s">
        <v>62</v>
      </c>
      <c r="C2" s="50" t="s">
        <v>63</v>
      </c>
      <c r="D2" s="49" t="s">
        <v>64</v>
      </c>
      <c r="E2" s="51" t="s">
        <v>65</v>
      </c>
      <c r="F2" s="49" t="s">
        <v>66</v>
      </c>
      <c r="G2" s="48" t="s">
        <v>67</v>
      </c>
      <c r="H2" s="48" t="s">
        <v>68</v>
      </c>
      <c r="I2" s="48" t="s">
        <v>69</v>
      </c>
      <c r="J2" s="48" t="s">
        <v>70</v>
      </c>
      <c r="K2" s="59" t="s">
        <v>71</v>
      </c>
      <c r="L2" s="59" t="s">
        <v>72</v>
      </c>
    </row>
    <row r="3" customFormat="1" spans="1:14">
      <c r="A3" s="22">
        <v>80</v>
      </c>
      <c r="B3" s="9">
        <v>40</v>
      </c>
      <c r="C3" s="9">
        <v>600</v>
      </c>
      <c r="D3" s="52">
        <f t="shared" ref="D3:D9" si="0">500+I3*10</f>
        <v>525.8</v>
      </c>
      <c r="E3" s="52">
        <f>计算总表!M13</f>
        <v>12.1724588732738</v>
      </c>
      <c r="F3" s="9">
        <v>0.58</v>
      </c>
      <c r="G3" s="9">
        <v>0.00393</v>
      </c>
      <c r="H3" s="53">
        <f>计算总表!B13</f>
        <v>1.38</v>
      </c>
      <c r="I3" s="53">
        <f t="shared" ref="I3:I7" si="1">H3+2*0.6</f>
        <v>2.58</v>
      </c>
      <c r="J3" s="60">
        <f t="shared" ref="J3:J9" si="2">F3*((A3-B3)/((E3/100000*(1+G3*(A3-20)))*(C3/2/PI()*LN(I3/H3)+10*D3/(PI()*I3))))^0.5</f>
        <v>11.2366466352361</v>
      </c>
      <c r="K3" s="61" t="s">
        <v>73</v>
      </c>
      <c r="L3" s="45">
        <v>12</v>
      </c>
      <c r="M3">
        <v>1.5</v>
      </c>
      <c r="N3" t="s">
        <v>74</v>
      </c>
    </row>
    <row r="4" customFormat="1" spans="1:14">
      <c r="A4" s="22">
        <v>80</v>
      </c>
      <c r="B4" s="9">
        <v>40</v>
      </c>
      <c r="C4" s="9">
        <v>600</v>
      </c>
      <c r="D4" s="52">
        <f>500+I4*10</f>
        <v>515.2</v>
      </c>
      <c r="E4" s="52">
        <f>计算总表!M14</f>
        <v>11.9146950443373</v>
      </c>
      <c r="F4" s="9">
        <v>0.58</v>
      </c>
      <c r="G4" s="9">
        <v>0.00393</v>
      </c>
      <c r="H4" s="53">
        <f>计算总表!B14</f>
        <v>0.32</v>
      </c>
      <c r="I4" s="53">
        <f>H4+2*0.6</f>
        <v>1.52</v>
      </c>
      <c r="J4" s="60">
        <f>F4*((A4-B4)/((E4/100000*(1+G4*(A4-20)))*(C4/2/PI()*LN(I4/H4)+10*D4/(PI()*I4))))^0.5</f>
        <v>8.62774328061323</v>
      </c>
      <c r="K4" s="45" t="s">
        <v>75</v>
      </c>
      <c r="L4" s="45">
        <v>12</v>
      </c>
      <c r="M4">
        <v>0.05</v>
      </c>
      <c r="N4" t="s">
        <v>76</v>
      </c>
    </row>
    <row r="5" customFormat="1" spans="1:14">
      <c r="A5" s="22">
        <v>80</v>
      </c>
      <c r="B5" s="9">
        <v>40</v>
      </c>
      <c r="C5" s="9">
        <v>600</v>
      </c>
      <c r="D5" s="52">
        <f>500+I5*10</f>
        <v>513.5</v>
      </c>
      <c r="E5" s="52">
        <f>计算总表!M15</f>
        <v>51.3495274638104</v>
      </c>
      <c r="F5" s="9">
        <v>0.58</v>
      </c>
      <c r="G5" s="9">
        <v>0.00393</v>
      </c>
      <c r="H5" s="53">
        <f>计算总表!B15</f>
        <v>0.15</v>
      </c>
      <c r="I5" s="53">
        <f>H5+2*0.6</f>
        <v>1.35</v>
      </c>
      <c r="J5" s="60">
        <f>F5*((A5-B5)/((E5/100000*(1+G5*(A5-20)))*(C5/2/PI()*LN(I5/H5)+10*D5/(PI()*I5))))^0.5</f>
        <v>3.86352239374885</v>
      </c>
      <c r="K5" s="45" t="s">
        <v>75</v>
      </c>
      <c r="L5" s="45">
        <v>14</v>
      </c>
      <c r="M5">
        <v>0.08</v>
      </c>
      <c r="N5" t="s">
        <v>77</v>
      </c>
    </row>
    <row r="6" customFormat="1" spans="1:13">
      <c r="A6" s="22">
        <v>80</v>
      </c>
      <c r="B6" s="9">
        <v>40</v>
      </c>
      <c r="C6" s="9">
        <v>600</v>
      </c>
      <c r="D6" s="52">
        <f>500+I6*10</f>
        <v>514.5</v>
      </c>
      <c r="E6" s="52">
        <f>计算总表!M16</f>
        <v>50.1758239789233</v>
      </c>
      <c r="F6" s="9">
        <v>0.58</v>
      </c>
      <c r="G6" s="9">
        <v>0.00393</v>
      </c>
      <c r="H6" s="53">
        <f>计算总表!B16</f>
        <v>0.25</v>
      </c>
      <c r="I6" s="53">
        <f>H6+2*0.6</f>
        <v>1.45</v>
      </c>
      <c r="J6" s="60">
        <f>F6*((A6-B6)/((E6/100000*(1+G6*(A6-20)))*(C6/2/PI()*LN(I6/H6)+10*D6/(PI()*I6))))^0.5</f>
        <v>4.0899125861415</v>
      </c>
      <c r="K6" s="45" t="s">
        <v>75</v>
      </c>
      <c r="L6" s="45">
        <v>16</v>
      </c>
      <c r="M6">
        <v>2.5</v>
      </c>
    </row>
    <row r="7" s="44" customFormat="1" spans="1:13">
      <c r="A7" s="54">
        <v>80</v>
      </c>
      <c r="B7" s="55">
        <v>40</v>
      </c>
      <c r="C7" s="55">
        <v>600</v>
      </c>
      <c r="D7" s="56">
        <f>500+I7*10</f>
        <v>513.9</v>
      </c>
      <c r="E7" s="56">
        <f>计算总表!M17</f>
        <v>55.28059176726</v>
      </c>
      <c r="F7" s="55">
        <v>0.58</v>
      </c>
      <c r="G7" s="55">
        <v>0.00393</v>
      </c>
      <c r="H7" s="57">
        <f>计算总表!B17</f>
        <v>0.19</v>
      </c>
      <c r="I7" s="57">
        <f>H7+2*0.6</f>
        <v>1.39</v>
      </c>
      <c r="J7" s="62">
        <f>F7*((A7-B7)/((E7/100000*(1+G7*(A7-20)))*(C7/2/PI()*LN(I7/H7)+10*D7/(PI()*I7))))^0.5</f>
        <v>3.79607472970137</v>
      </c>
      <c r="K7" s="63" t="s">
        <v>75</v>
      </c>
      <c r="L7" s="63">
        <v>18</v>
      </c>
      <c r="M7" s="44">
        <v>4</v>
      </c>
    </row>
    <row r="8" customFormat="1" spans="1:12">
      <c r="A8" s="22">
        <v>125</v>
      </c>
      <c r="B8" s="9">
        <v>-40</v>
      </c>
      <c r="C8" s="9">
        <v>450</v>
      </c>
      <c r="D8" s="52">
        <f>500+I8*10</f>
        <v>539.600596037671</v>
      </c>
      <c r="E8" s="58">
        <f>E4</f>
        <v>11.9146950443373</v>
      </c>
      <c r="F8" s="9">
        <v>0.58</v>
      </c>
      <c r="G8" s="9">
        <v>0.00393</v>
      </c>
      <c r="H8" s="53">
        <v>2.3600596037671</v>
      </c>
      <c r="I8" s="53">
        <v>3.9600596037671</v>
      </c>
      <c r="J8" s="60">
        <f>F8*((A8-B8)/((E8/100000*(1+G8*(A8-20)))*(C8/2/PI()*LN(I8/H8)+10*D8/(PI()*I8))))^0.5</f>
        <v>26.4662923904409</v>
      </c>
      <c r="K8" s="45" t="s">
        <v>78</v>
      </c>
      <c r="L8" s="45">
        <v>12</v>
      </c>
    </row>
    <row r="9" customFormat="1" spans="1:12">
      <c r="A9" s="22">
        <v>125</v>
      </c>
      <c r="B9" s="9">
        <v>-40</v>
      </c>
      <c r="C9" s="9">
        <v>450</v>
      </c>
      <c r="D9" s="52">
        <f>500+I9*10</f>
        <v>534.950964795141</v>
      </c>
      <c r="E9" s="52">
        <v>8.55499509839662</v>
      </c>
      <c r="F9" s="9">
        <v>0.58</v>
      </c>
      <c r="G9" s="9">
        <v>0.00393</v>
      </c>
      <c r="H9" s="53">
        <v>1.89509647951408</v>
      </c>
      <c r="I9" s="53">
        <v>3.49509647951408</v>
      </c>
      <c r="J9" s="60">
        <f>F9*((A9-B9)/((E9/100000*(1+G9*(A9-20)))*(C9/2/PI()*LN(I9/H9)+10*D9/(PI()*I9))))^0.5</f>
        <v>29.4090606000295</v>
      </c>
      <c r="K9" s="45" t="s">
        <v>78</v>
      </c>
      <c r="L9" s="45">
        <v>14</v>
      </c>
    </row>
  </sheetData>
  <mergeCells count="1">
    <mergeCell ref="A1:J1"/>
  </mergeCells>
  <hyperlinks>
    <hyperlink ref="C2" location="载流量參數表!A1" display="绝缘体固有热阻抗P1(℃.cm/W)"/>
    <hyperlink ref="D2" location="载流量參數表!D1" display="表面散热阻抗P2(℃.cm/W)"/>
    <hyperlink ref="F2" location="载流量參數表!D15" display="允许电流衰减系数K"/>
    <hyperlink ref="B2" location="载流量參數表!A15" display="周围最高允许温度TA(℃)"/>
  </hyperlinks>
  <pageMargins left="0.75" right="0.75" top="1" bottom="1" header="0.5" footer="0.5"/>
  <pageSetup paperSize="9" orientation="portrait" verticalDpi="96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5"/>
  <sheetViews>
    <sheetView workbookViewId="0">
      <selection activeCell="I33" sqref="I33"/>
    </sheetView>
  </sheetViews>
  <sheetFormatPr defaultColWidth="9" defaultRowHeight="16.5"/>
  <cols>
    <col min="1" max="1" width="9.875" customWidth="1"/>
    <col min="2" max="2" width="15" customWidth="1"/>
    <col min="3" max="3" width="2.75" customWidth="1"/>
    <col min="4" max="4" width="11.75" customWidth="1"/>
    <col min="5" max="5" width="20.375" customWidth="1"/>
    <col min="6" max="6" width="5.375" customWidth="1"/>
    <col min="7" max="7" width="2.375" customWidth="1"/>
    <col min="8" max="12" width="5.375" customWidth="1"/>
    <col min="13" max="13" width="4.375" customWidth="1"/>
    <col min="14" max="17" width="5.375" customWidth="1"/>
  </cols>
  <sheetData>
    <row r="1" spans="1:5">
      <c r="A1" s="19" t="s">
        <v>79</v>
      </c>
      <c r="B1" s="19"/>
      <c r="D1" s="20" t="s">
        <v>80</v>
      </c>
      <c r="E1" s="20"/>
    </row>
    <row r="2" ht="20.25" spans="1:5">
      <c r="A2" s="9" t="s">
        <v>81</v>
      </c>
      <c r="B2" s="21" t="s">
        <v>82</v>
      </c>
      <c r="D2" s="22" t="s">
        <v>81</v>
      </c>
      <c r="E2" s="23" t="s">
        <v>83</v>
      </c>
    </row>
    <row r="3" ht="20.25" spans="1:5">
      <c r="A3" s="21" t="s">
        <v>73</v>
      </c>
      <c r="B3" s="9">
        <v>600</v>
      </c>
      <c r="D3" s="22" t="s">
        <v>84</v>
      </c>
      <c r="E3" s="23" t="s">
        <v>85</v>
      </c>
    </row>
    <row r="4" ht="20.25" spans="1:5">
      <c r="A4" s="21" t="s">
        <v>86</v>
      </c>
      <c r="B4" s="9">
        <v>600</v>
      </c>
      <c r="D4" s="22" t="s">
        <v>87</v>
      </c>
      <c r="E4" s="23" t="s">
        <v>88</v>
      </c>
    </row>
    <row r="5" spans="1:2">
      <c r="A5" s="21" t="s">
        <v>89</v>
      </c>
      <c r="B5" s="9">
        <v>450</v>
      </c>
    </row>
    <row r="6" spans="1:2">
      <c r="A6" s="21" t="s">
        <v>78</v>
      </c>
      <c r="B6" s="9">
        <v>450</v>
      </c>
    </row>
    <row r="7" spans="1:2">
      <c r="A7" s="9" t="s">
        <v>90</v>
      </c>
      <c r="B7" s="9">
        <v>500</v>
      </c>
    </row>
    <row r="8" spans="1:2">
      <c r="A8" s="9" t="s">
        <v>91</v>
      </c>
      <c r="B8" s="9">
        <v>500</v>
      </c>
    </row>
    <row r="9" spans="1:2">
      <c r="A9" s="9" t="s">
        <v>92</v>
      </c>
      <c r="B9" s="9">
        <v>500</v>
      </c>
    </row>
    <row r="10" spans="1:2">
      <c r="A10" s="21" t="s">
        <v>93</v>
      </c>
      <c r="B10" s="9">
        <v>450</v>
      </c>
    </row>
    <row r="11" spans="1:2">
      <c r="A11" s="21" t="s">
        <v>94</v>
      </c>
      <c r="B11" s="9">
        <v>400</v>
      </c>
    </row>
    <row r="12" spans="1:2">
      <c r="A12" s="21" t="s">
        <v>95</v>
      </c>
      <c r="B12" s="9">
        <v>1200</v>
      </c>
    </row>
    <row r="13" spans="1:2">
      <c r="A13" s="24" t="s">
        <v>96</v>
      </c>
      <c r="B13" s="9">
        <v>1200</v>
      </c>
    </row>
    <row r="15" spans="1:17">
      <c r="A15" s="9" t="s">
        <v>97</v>
      </c>
      <c r="B15" s="9"/>
      <c r="D15" s="25" t="s">
        <v>98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ht="20.25" spans="1:17">
      <c r="A16" s="9" t="s">
        <v>81</v>
      </c>
      <c r="B16" s="21" t="s">
        <v>99</v>
      </c>
      <c r="D16" s="26" t="s">
        <v>100</v>
      </c>
      <c r="E16" s="27"/>
      <c r="F16" s="28" t="s">
        <v>101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42"/>
    </row>
    <row r="17" spans="1:17">
      <c r="A17" s="21" t="s">
        <v>73</v>
      </c>
      <c r="B17" s="21" t="s">
        <v>102</v>
      </c>
      <c r="D17" s="30" t="s">
        <v>103</v>
      </c>
      <c r="E17" s="30" t="s">
        <v>104</v>
      </c>
      <c r="F17" s="31"/>
      <c r="G17" s="32"/>
      <c r="H17" s="33" t="s">
        <v>105</v>
      </c>
      <c r="I17" s="41"/>
      <c r="J17" s="41"/>
      <c r="K17" s="41"/>
      <c r="L17" s="41"/>
      <c r="M17" s="41"/>
      <c r="N17" s="41"/>
      <c r="O17" s="41"/>
      <c r="P17" s="41"/>
      <c r="Q17" s="43"/>
    </row>
    <row r="18" spans="1:17">
      <c r="A18" s="21" t="s">
        <v>86</v>
      </c>
      <c r="B18" s="9">
        <v>105</v>
      </c>
      <c r="D18" s="9">
        <v>1</v>
      </c>
      <c r="E18" s="34">
        <v>1</v>
      </c>
      <c r="F18" s="35"/>
      <c r="G18" s="36"/>
      <c r="H18" s="22">
        <v>1</v>
      </c>
      <c r="I18" s="22">
        <v>2</v>
      </c>
      <c r="J18" s="22">
        <v>3</v>
      </c>
      <c r="K18" s="22">
        <v>4</v>
      </c>
      <c r="L18" s="22">
        <v>5</v>
      </c>
      <c r="M18" s="22">
        <v>6</v>
      </c>
      <c r="N18" s="22">
        <v>7</v>
      </c>
      <c r="O18" s="22">
        <v>8</v>
      </c>
      <c r="P18" s="22">
        <v>9</v>
      </c>
      <c r="Q18" s="22">
        <v>10</v>
      </c>
    </row>
    <row r="19" spans="1:17">
      <c r="A19" s="21" t="s">
        <v>89</v>
      </c>
      <c r="B19" s="9">
        <v>75</v>
      </c>
      <c r="D19" s="9">
        <v>2</v>
      </c>
      <c r="E19" s="34">
        <v>0.75</v>
      </c>
      <c r="F19" s="37" t="s">
        <v>106</v>
      </c>
      <c r="G19" s="22">
        <v>1</v>
      </c>
      <c r="H19" s="22">
        <v>1</v>
      </c>
      <c r="I19" s="22">
        <v>0.8</v>
      </c>
      <c r="J19" s="22">
        <v>0.7</v>
      </c>
      <c r="K19" s="22">
        <v>0.65</v>
      </c>
      <c r="L19" s="22">
        <v>0.62</v>
      </c>
      <c r="M19" s="22">
        <v>0.6</v>
      </c>
      <c r="N19" s="22">
        <v>0.58</v>
      </c>
      <c r="O19" s="22">
        <v>0.57</v>
      </c>
      <c r="P19" s="22">
        <v>0.56</v>
      </c>
      <c r="Q19" s="22">
        <v>0.55</v>
      </c>
    </row>
    <row r="20" spans="1:17">
      <c r="A20" s="21" t="s">
        <v>78</v>
      </c>
      <c r="B20" s="38">
        <v>90105125150</v>
      </c>
      <c r="D20" s="9">
        <v>3</v>
      </c>
      <c r="E20" s="34">
        <v>0.65</v>
      </c>
      <c r="F20" s="39"/>
      <c r="G20" s="22">
        <v>2</v>
      </c>
      <c r="H20" s="22">
        <v>0.7</v>
      </c>
      <c r="I20" s="22">
        <v>0.56</v>
      </c>
      <c r="J20" s="22">
        <v>0.49</v>
      </c>
      <c r="K20" s="22">
        <v>0.45</v>
      </c>
      <c r="L20" s="22">
        <v>0.43</v>
      </c>
      <c r="M20" s="22">
        <v>0.42</v>
      </c>
      <c r="N20" s="22">
        <v>0.41</v>
      </c>
      <c r="O20" s="22">
        <v>0.4</v>
      </c>
      <c r="P20" s="22">
        <v>0.39</v>
      </c>
      <c r="Q20" s="22">
        <v>0.38</v>
      </c>
    </row>
    <row r="21" spans="1:17">
      <c r="A21" s="9" t="s">
        <v>90</v>
      </c>
      <c r="B21" s="9">
        <v>180</v>
      </c>
      <c r="D21" s="9">
        <v>4</v>
      </c>
      <c r="E21" s="34">
        <v>0.58</v>
      </c>
      <c r="F21" s="39"/>
      <c r="G21" s="22">
        <v>3</v>
      </c>
      <c r="H21" s="22">
        <v>0.66</v>
      </c>
      <c r="I21" s="22">
        <v>0.53</v>
      </c>
      <c r="J21" s="22">
        <v>0.46</v>
      </c>
      <c r="K21" s="22">
        <v>0.43</v>
      </c>
      <c r="L21" s="22">
        <v>0.41</v>
      </c>
      <c r="M21" s="22">
        <v>0.4</v>
      </c>
      <c r="N21" s="22">
        <v>0.38</v>
      </c>
      <c r="O21" s="22">
        <v>0.37</v>
      </c>
      <c r="P21" s="22">
        <v>0.36</v>
      </c>
      <c r="Q21" s="22">
        <v>0.35</v>
      </c>
    </row>
    <row r="22" spans="1:17">
      <c r="A22" s="9" t="s">
        <v>91</v>
      </c>
      <c r="B22" s="9">
        <v>90</v>
      </c>
      <c r="D22" s="9">
        <v>5</v>
      </c>
      <c r="E22" s="34">
        <v>0.53</v>
      </c>
      <c r="F22" s="39"/>
      <c r="G22" s="22">
        <v>4</v>
      </c>
      <c r="H22" s="22">
        <v>0.58</v>
      </c>
      <c r="I22" s="22">
        <v>0.46</v>
      </c>
      <c r="J22" s="22">
        <v>0.41</v>
      </c>
      <c r="K22" s="22">
        <v>0.38</v>
      </c>
      <c r="L22" s="22">
        <v>0.36</v>
      </c>
      <c r="M22" s="22">
        <v>0.35</v>
      </c>
      <c r="N22" s="22">
        <v>0.34</v>
      </c>
      <c r="O22" s="22">
        <v>0.33</v>
      </c>
      <c r="P22" s="22">
        <v>0.32</v>
      </c>
      <c r="Q22" s="22">
        <v>0.31</v>
      </c>
    </row>
    <row r="23" spans="1:17">
      <c r="A23" s="9" t="s">
        <v>92</v>
      </c>
      <c r="B23" s="21" t="s">
        <v>107</v>
      </c>
      <c r="D23" s="9">
        <v>6</v>
      </c>
      <c r="E23" s="34">
        <v>0.49</v>
      </c>
      <c r="F23" s="40"/>
      <c r="G23" s="22">
        <v>5</v>
      </c>
      <c r="H23" s="22">
        <v>0.45</v>
      </c>
      <c r="I23" s="22">
        <v>0.36</v>
      </c>
      <c r="J23" s="22">
        <v>0.32</v>
      </c>
      <c r="K23" s="22">
        <v>0.29</v>
      </c>
      <c r="L23" s="22">
        <v>0.28</v>
      </c>
      <c r="M23" s="22">
        <v>0.27</v>
      </c>
      <c r="N23" s="22">
        <v>0.26</v>
      </c>
      <c r="O23" s="22">
        <v>0.25</v>
      </c>
      <c r="P23" s="22">
        <v>0.24</v>
      </c>
      <c r="Q23" s="22">
        <v>0.23</v>
      </c>
    </row>
    <row r="24" spans="1:5">
      <c r="A24" s="21" t="s">
        <v>93</v>
      </c>
      <c r="B24" s="9">
        <v>250</v>
      </c>
      <c r="D24" s="9">
        <v>7</v>
      </c>
      <c r="E24" s="34">
        <v>0.46</v>
      </c>
    </row>
    <row r="25" spans="1:5">
      <c r="A25" s="21" t="s">
        <v>94</v>
      </c>
      <c r="B25" s="9">
        <v>200</v>
      </c>
      <c r="D25" s="9">
        <v>8</v>
      </c>
      <c r="E25" s="34">
        <v>0.43</v>
      </c>
    </row>
    <row r="26" spans="1:5">
      <c r="A26" s="21" t="s">
        <v>95</v>
      </c>
      <c r="B26" s="9">
        <v>150</v>
      </c>
      <c r="D26" s="9">
        <v>9</v>
      </c>
      <c r="E26" s="34">
        <v>0.41</v>
      </c>
    </row>
    <row r="27" spans="1:5">
      <c r="A27" s="24" t="s">
        <v>96</v>
      </c>
      <c r="B27" s="9">
        <v>105</v>
      </c>
      <c r="D27" s="9">
        <v>10</v>
      </c>
      <c r="E27" s="34">
        <v>0.4</v>
      </c>
    </row>
    <row r="28" spans="4:5">
      <c r="D28" s="21" t="s">
        <v>108</v>
      </c>
      <c r="E28" s="34">
        <v>0.34</v>
      </c>
    </row>
    <row r="29" spans="4:5">
      <c r="D29" s="21" t="s">
        <v>109</v>
      </c>
      <c r="E29" s="34">
        <v>0.3</v>
      </c>
    </row>
    <row r="30" spans="4:5">
      <c r="D30" s="21" t="s">
        <v>110</v>
      </c>
      <c r="E30" s="34">
        <v>0.25</v>
      </c>
    </row>
    <row r="31" spans="4:5">
      <c r="D31" s="21" t="s">
        <v>111</v>
      </c>
      <c r="E31" s="34">
        <v>0.22</v>
      </c>
    </row>
    <row r="32" spans="4:5">
      <c r="D32" s="21" t="s">
        <v>112</v>
      </c>
      <c r="E32" s="34">
        <v>0.2</v>
      </c>
    </row>
    <row r="33" spans="4:5">
      <c r="D33" s="21" t="s">
        <v>113</v>
      </c>
      <c r="E33" s="34">
        <v>0.18</v>
      </c>
    </row>
    <row r="34" spans="4:5">
      <c r="D34" s="9" t="s">
        <v>114</v>
      </c>
      <c r="E34" s="34">
        <v>0.17</v>
      </c>
    </row>
    <row r="35" spans="4:5">
      <c r="D35" s="21" t="s">
        <v>115</v>
      </c>
      <c r="E35" s="34">
        <v>0.16</v>
      </c>
    </row>
  </sheetData>
  <mergeCells count="9">
    <mergeCell ref="A1:B1"/>
    <mergeCell ref="D1:E1"/>
    <mergeCell ref="A15:B15"/>
    <mergeCell ref="D15:Q15"/>
    <mergeCell ref="D16:E16"/>
    <mergeCell ref="F16:Q16"/>
    <mergeCell ref="H17:Q17"/>
    <mergeCell ref="F19:F23"/>
    <mergeCell ref="F17:G18"/>
  </mergeCells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0"/>
  <sheetViews>
    <sheetView tabSelected="1" zoomScale="75" zoomScaleNormal="75" workbookViewId="0">
      <selection activeCell="F26" sqref="F26"/>
    </sheetView>
  </sheetViews>
  <sheetFormatPr defaultColWidth="9" defaultRowHeight="16.5"/>
  <cols>
    <col min="1" max="1" width="5.375" style="1" customWidth="1"/>
    <col min="2" max="2" width="20.625" style="1" customWidth="1"/>
    <col min="3" max="3" width="7.875" style="1" customWidth="1"/>
    <col min="4" max="4" width="5.125" style="1" customWidth="1"/>
    <col min="5" max="5" width="20.625" style="1" customWidth="1"/>
    <col min="6" max="6" width="8.25" style="1" customWidth="1"/>
    <col min="7" max="7" width="6.25" style="1" customWidth="1"/>
    <col min="8" max="8" width="20.625" style="1" customWidth="1"/>
    <col min="9" max="9" width="7.75" style="1" customWidth="1"/>
    <col min="10" max="10" width="6.125" style="1" customWidth="1"/>
    <col min="11" max="11" width="20.625" style="1" customWidth="1"/>
    <col min="12" max="12" width="7.75" style="1" customWidth="1"/>
    <col min="13" max="16384" width="9" style="2"/>
  </cols>
  <sheetData>
    <row r="1" ht="26.25" spans="1:12">
      <c r="A1" s="3" t="s">
        <v>116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9.5" spans="1:12">
      <c r="A2" s="4" t="s">
        <v>117</v>
      </c>
      <c r="B2" s="5" t="s">
        <v>118</v>
      </c>
      <c r="C2" s="6" t="s">
        <v>119</v>
      </c>
      <c r="D2" s="7" t="s">
        <v>117</v>
      </c>
      <c r="E2" s="5" t="s">
        <v>118</v>
      </c>
      <c r="F2" s="6" t="s">
        <v>119</v>
      </c>
      <c r="G2" s="7" t="s">
        <v>117</v>
      </c>
      <c r="H2" s="5" t="s">
        <v>118</v>
      </c>
      <c r="I2" s="6" t="s">
        <v>119</v>
      </c>
      <c r="J2" s="7" t="s">
        <v>117</v>
      </c>
      <c r="K2" s="5" t="s">
        <v>118</v>
      </c>
      <c r="L2" s="16" t="s">
        <v>119</v>
      </c>
    </row>
    <row r="3" spans="1:12">
      <c r="A3" s="8">
        <v>2</v>
      </c>
      <c r="B3" s="9">
        <v>2</v>
      </c>
      <c r="C3" s="9">
        <v>2</v>
      </c>
      <c r="D3" s="10">
        <v>19</v>
      </c>
      <c r="E3" s="9" t="s">
        <v>120</v>
      </c>
      <c r="F3" s="9">
        <v>5</v>
      </c>
      <c r="G3" s="10">
        <v>36</v>
      </c>
      <c r="H3" s="9" t="s">
        <v>121</v>
      </c>
      <c r="I3" s="9">
        <v>7</v>
      </c>
      <c r="J3" s="10">
        <v>50</v>
      </c>
      <c r="K3" s="9" t="s">
        <v>122</v>
      </c>
      <c r="L3" s="17">
        <v>8.414</v>
      </c>
    </row>
    <row r="4" spans="1:12">
      <c r="A4" s="8">
        <v>3</v>
      </c>
      <c r="B4" s="9">
        <v>3</v>
      </c>
      <c r="C4" s="9">
        <v>2.154</v>
      </c>
      <c r="D4" s="10">
        <v>20</v>
      </c>
      <c r="E4" s="9" t="s">
        <v>123</v>
      </c>
      <c r="F4" s="9">
        <v>5.154</v>
      </c>
      <c r="G4" s="10">
        <v>37</v>
      </c>
      <c r="H4" s="9" t="s">
        <v>124</v>
      </c>
      <c r="I4" s="9">
        <v>7</v>
      </c>
      <c r="J4" s="10">
        <v>51</v>
      </c>
      <c r="K4" s="9" t="s">
        <v>125</v>
      </c>
      <c r="L4" s="17">
        <v>8.414</v>
      </c>
    </row>
    <row r="5" spans="1:12">
      <c r="A5" s="8">
        <v>4</v>
      </c>
      <c r="B5" s="9">
        <v>4</v>
      </c>
      <c r="C5" s="9">
        <v>2.414</v>
      </c>
      <c r="D5" s="10">
        <v>21</v>
      </c>
      <c r="E5" s="9" t="s">
        <v>126</v>
      </c>
      <c r="F5" s="9">
        <v>5.3</v>
      </c>
      <c r="G5" s="10">
        <v>38</v>
      </c>
      <c r="H5" s="9" t="s">
        <v>127</v>
      </c>
      <c r="I5" s="9">
        <v>7.3</v>
      </c>
      <c r="J5" s="10">
        <v>52</v>
      </c>
      <c r="K5" s="9" t="s">
        <v>128</v>
      </c>
      <c r="L5" s="17">
        <v>8.414</v>
      </c>
    </row>
    <row r="6" spans="1:12">
      <c r="A6" s="8">
        <v>5</v>
      </c>
      <c r="B6" s="9">
        <v>5</v>
      </c>
      <c r="C6" s="9">
        <v>2.7</v>
      </c>
      <c r="D6" s="10">
        <v>22</v>
      </c>
      <c r="E6" s="9" t="s">
        <v>129</v>
      </c>
      <c r="F6" s="9">
        <v>5.7</v>
      </c>
      <c r="G6" s="10">
        <v>38</v>
      </c>
      <c r="H6" s="9" t="s">
        <v>130</v>
      </c>
      <c r="I6" s="9">
        <v>8</v>
      </c>
      <c r="J6" s="10">
        <v>53</v>
      </c>
      <c r="K6" s="9" t="s">
        <v>131</v>
      </c>
      <c r="L6" s="17">
        <v>8.7</v>
      </c>
    </row>
    <row r="7" spans="1:12">
      <c r="A7" s="8">
        <v>6</v>
      </c>
      <c r="B7" s="9">
        <v>6</v>
      </c>
      <c r="C7" s="9">
        <v>3</v>
      </c>
      <c r="D7" s="10">
        <v>23</v>
      </c>
      <c r="E7" s="9" t="s">
        <v>132</v>
      </c>
      <c r="F7" s="9">
        <v>6</v>
      </c>
      <c r="G7" s="10">
        <v>39</v>
      </c>
      <c r="H7" s="9" t="s">
        <v>133</v>
      </c>
      <c r="I7" s="9">
        <v>7.3</v>
      </c>
      <c r="J7" s="10">
        <v>54</v>
      </c>
      <c r="K7" s="9" t="s">
        <v>134</v>
      </c>
      <c r="L7" s="17">
        <v>8.7</v>
      </c>
    </row>
    <row r="8" spans="1:12">
      <c r="A8" s="8">
        <v>7</v>
      </c>
      <c r="B8" s="9" t="s">
        <v>135</v>
      </c>
      <c r="C8" s="9">
        <v>3</v>
      </c>
      <c r="D8" s="10">
        <v>24</v>
      </c>
      <c r="E8" s="9" t="s">
        <v>136</v>
      </c>
      <c r="F8" s="9">
        <v>6</v>
      </c>
      <c r="G8" s="10">
        <v>39</v>
      </c>
      <c r="H8" s="9" t="s">
        <v>137</v>
      </c>
      <c r="I8" s="9">
        <v>8</v>
      </c>
      <c r="J8" s="10">
        <v>55</v>
      </c>
      <c r="K8" s="9" t="s">
        <v>138</v>
      </c>
      <c r="L8" s="17">
        <v>8.7</v>
      </c>
    </row>
    <row r="9" spans="1:12">
      <c r="A9" s="8">
        <v>8</v>
      </c>
      <c r="B9" s="9" t="s">
        <v>139</v>
      </c>
      <c r="C9" s="9">
        <v>3.3</v>
      </c>
      <c r="D9" s="10">
        <v>25</v>
      </c>
      <c r="E9" s="9" t="s">
        <v>140</v>
      </c>
      <c r="F9" s="9">
        <v>6.154</v>
      </c>
      <c r="G9" s="10">
        <v>40</v>
      </c>
      <c r="H9" s="9" t="s">
        <v>133</v>
      </c>
      <c r="I9" s="9">
        <v>7.3</v>
      </c>
      <c r="J9" s="10">
        <v>56</v>
      </c>
      <c r="K9" s="9" t="s">
        <v>141</v>
      </c>
      <c r="L9" s="17">
        <v>8.7</v>
      </c>
    </row>
    <row r="10" spans="1:12">
      <c r="A10" s="8">
        <v>9</v>
      </c>
      <c r="B10" s="9" t="s">
        <v>142</v>
      </c>
      <c r="C10" s="9">
        <v>3.7</v>
      </c>
      <c r="D10" s="10">
        <v>26</v>
      </c>
      <c r="E10" s="9" t="s">
        <v>143</v>
      </c>
      <c r="F10" s="9">
        <v>6.154</v>
      </c>
      <c r="G10" s="10">
        <v>40</v>
      </c>
      <c r="H10" s="9" t="s">
        <v>144</v>
      </c>
      <c r="I10" s="9">
        <v>8</v>
      </c>
      <c r="J10" s="10">
        <v>57</v>
      </c>
      <c r="K10" s="9" t="s">
        <v>145</v>
      </c>
      <c r="L10" s="17">
        <v>9</v>
      </c>
    </row>
    <row r="11" spans="1:12">
      <c r="A11" s="8">
        <v>10</v>
      </c>
      <c r="B11" s="9" t="s">
        <v>146</v>
      </c>
      <c r="C11" s="9">
        <v>4</v>
      </c>
      <c r="D11" s="10">
        <v>27</v>
      </c>
      <c r="E11" s="9" t="s">
        <v>147</v>
      </c>
      <c r="F11" s="9">
        <v>6.154</v>
      </c>
      <c r="G11" s="10">
        <v>41</v>
      </c>
      <c r="H11" s="9" t="s">
        <v>148</v>
      </c>
      <c r="I11" s="9">
        <v>8</v>
      </c>
      <c r="J11" s="10">
        <v>58</v>
      </c>
      <c r="K11" s="9" t="s">
        <v>149</v>
      </c>
      <c r="L11" s="17">
        <v>9</v>
      </c>
    </row>
    <row r="12" spans="1:12">
      <c r="A12" s="8">
        <v>11</v>
      </c>
      <c r="B12" s="9" t="s">
        <v>150</v>
      </c>
      <c r="C12" s="9">
        <v>4.154</v>
      </c>
      <c r="D12" s="10">
        <v>28</v>
      </c>
      <c r="E12" s="9" t="s">
        <v>151</v>
      </c>
      <c r="F12" s="9">
        <v>6.414</v>
      </c>
      <c r="G12" s="10">
        <v>42</v>
      </c>
      <c r="H12" s="9" t="s">
        <v>152</v>
      </c>
      <c r="I12" s="9">
        <v>8</v>
      </c>
      <c r="J12" s="10">
        <v>59</v>
      </c>
      <c r="K12" s="9" t="s">
        <v>153</v>
      </c>
      <c r="L12" s="17">
        <v>9</v>
      </c>
    </row>
    <row r="13" spans="1:12">
      <c r="A13" s="8">
        <v>12</v>
      </c>
      <c r="B13" s="9" t="s">
        <v>154</v>
      </c>
      <c r="C13" s="9">
        <v>4.154</v>
      </c>
      <c r="D13" s="10">
        <v>29</v>
      </c>
      <c r="E13" s="9" t="s">
        <v>155</v>
      </c>
      <c r="F13" s="9">
        <v>6.414</v>
      </c>
      <c r="G13" s="10">
        <v>43</v>
      </c>
      <c r="H13" s="9" t="s">
        <v>156</v>
      </c>
      <c r="I13" s="9">
        <v>8</v>
      </c>
      <c r="J13" s="10">
        <v>60</v>
      </c>
      <c r="K13" s="9" t="s">
        <v>157</v>
      </c>
      <c r="L13" s="17">
        <v>9</v>
      </c>
    </row>
    <row r="14" spans="1:12">
      <c r="A14" s="8">
        <v>13</v>
      </c>
      <c r="B14" s="9" t="s">
        <v>158</v>
      </c>
      <c r="C14" s="9">
        <v>4.414</v>
      </c>
      <c r="D14" s="10">
        <v>30</v>
      </c>
      <c r="E14" s="9" t="s">
        <v>159</v>
      </c>
      <c r="F14" s="9">
        <v>6.414</v>
      </c>
      <c r="G14" s="10">
        <v>44</v>
      </c>
      <c r="H14" s="9" t="s">
        <v>160</v>
      </c>
      <c r="I14" s="9">
        <v>8</v>
      </c>
      <c r="J14" s="10">
        <v>61</v>
      </c>
      <c r="K14" s="9" t="s">
        <v>161</v>
      </c>
      <c r="L14" s="17">
        <v>9</v>
      </c>
    </row>
    <row r="15" spans="1:12">
      <c r="A15" s="8">
        <v>14</v>
      </c>
      <c r="B15" s="9" t="s">
        <v>162</v>
      </c>
      <c r="C15" s="9">
        <v>4.414</v>
      </c>
      <c r="D15" s="10">
        <v>31</v>
      </c>
      <c r="E15" s="9" t="s">
        <v>163</v>
      </c>
      <c r="F15" s="9">
        <v>6.7</v>
      </c>
      <c r="G15" s="10">
        <v>45</v>
      </c>
      <c r="H15" s="9" t="s">
        <v>164</v>
      </c>
      <c r="I15" s="9">
        <v>8.154</v>
      </c>
      <c r="J15" s="10">
        <v>62</v>
      </c>
      <c r="K15" s="9" t="s">
        <v>165</v>
      </c>
      <c r="L15" s="17">
        <v>10</v>
      </c>
    </row>
    <row r="16" spans="1:12">
      <c r="A16" s="8">
        <v>15</v>
      </c>
      <c r="B16" s="9" t="s">
        <v>166</v>
      </c>
      <c r="C16" s="9">
        <v>4.7</v>
      </c>
      <c r="D16" s="10">
        <v>32</v>
      </c>
      <c r="E16" s="9" t="s">
        <v>167</v>
      </c>
      <c r="F16" s="9">
        <v>6.7</v>
      </c>
      <c r="G16" s="10">
        <v>46</v>
      </c>
      <c r="H16" s="9" t="s">
        <v>168</v>
      </c>
      <c r="I16" s="9">
        <v>8.154</v>
      </c>
      <c r="J16" s="10">
        <v>63</v>
      </c>
      <c r="K16" s="9" t="s">
        <v>169</v>
      </c>
      <c r="L16" s="17">
        <v>9.3</v>
      </c>
    </row>
    <row r="17" spans="1:12">
      <c r="A17" s="8">
        <v>16</v>
      </c>
      <c r="B17" s="9" t="s">
        <v>170</v>
      </c>
      <c r="C17" s="9">
        <v>4.7</v>
      </c>
      <c r="D17" s="10">
        <v>33</v>
      </c>
      <c r="E17" s="9" t="s">
        <v>171</v>
      </c>
      <c r="F17" s="9">
        <v>6.7</v>
      </c>
      <c r="G17" s="10">
        <v>47</v>
      </c>
      <c r="H17" s="9" t="s">
        <v>172</v>
      </c>
      <c r="I17" s="9">
        <v>8.154</v>
      </c>
      <c r="J17" s="10">
        <v>63</v>
      </c>
      <c r="K17" s="9" t="s">
        <v>173</v>
      </c>
      <c r="L17" s="17">
        <v>10</v>
      </c>
    </row>
    <row r="18" spans="1:12">
      <c r="A18" s="8">
        <v>17</v>
      </c>
      <c r="B18" s="9" t="s">
        <v>174</v>
      </c>
      <c r="C18" s="9">
        <v>5</v>
      </c>
      <c r="D18" s="10">
        <v>34</v>
      </c>
      <c r="E18" s="9" t="s">
        <v>175</v>
      </c>
      <c r="F18" s="9">
        <v>7</v>
      </c>
      <c r="G18" s="10">
        <v>48</v>
      </c>
      <c r="H18" s="9" t="s">
        <v>176</v>
      </c>
      <c r="I18" s="9">
        <v>8.154</v>
      </c>
      <c r="J18" s="10">
        <v>64</v>
      </c>
      <c r="K18" s="9" t="s">
        <v>177</v>
      </c>
      <c r="L18" s="17">
        <v>10</v>
      </c>
    </row>
    <row r="19" ht="17.25" spans="1:12">
      <c r="A19" s="8">
        <v>18</v>
      </c>
      <c r="B19" s="9" t="s">
        <v>178</v>
      </c>
      <c r="C19" s="9">
        <v>5</v>
      </c>
      <c r="D19" s="10">
        <v>35</v>
      </c>
      <c r="E19" s="9" t="s">
        <v>179</v>
      </c>
      <c r="F19" s="11">
        <v>7</v>
      </c>
      <c r="G19" s="12">
        <v>49</v>
      </c>
      <c r="H19" s="13" t="s">
        <v>180</v>
      </c>
      <c r="I19" s="13">
        <v>8.414</v>
      </c>
      <c r="J19" s="10">
        <v>91</v>
      </c>
      <c r="K19" s="9" t="s">
        <v>181</v>
      </c>
      <c r="L19" s="17">
        <v>11</v>
      </c>
    </row>
    <row r="20" ht="17.25" spans="1:12">
      <c r="A20" s="14"/>
      <c r="B20" s="15"/>
      <c r="C20" s="15"/>
      <c r="D20" s="15"/>
      <c r="E20" s="15"/>
      <c r="F20" s="13"/>
      <c r="G20" s="12"/>
      <c r="H20" s="13"/>
      <c r="I20" s="13"/>
      <c r="J20" s="12">
        <v>127</v>
      </c>
      <c r="K20" s="13" t="s">
        <v>182</v>
      </c>
      <c r="L20" s="18">
        <v>13</v>
      </c>
    </row>
  </sheetData>
  <printOptions horizontalCentered="1" verticalCentered="1"/>
  <pageMargins left="0.235416666666667" right="0.235416666666667" top="0.747916666666667" bottom="0.786805555555556" header="0.511805555555556" footer="0.511805555555556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D16" sqref="D16"/>
    </sheetView>
  </sheetViews>
  <sheetFormatPr defaultColWidth="9" defaultRowHeight="16.5"/>
  <sheetData/>
  <pageMargins left="0.75" right="0.75" top="1" bottom="1" header="0.5" footer="0.5"/>
  <pageSetup paperSize="9" orientation="portrait"/>
  <headerFooter alignWithMargins="0">
    <oddHeader>&amp;C&amp;A</oddHeader>
    <oddFooter>&amp;C第 &amp;P 頁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pageSetup paperSize="9" orientation="portrait"/>
  <headerFooter alignWithMargins="0">
    <oddHeader>&amp;C&amp;A</oddHeader>
    <oddFooter>&amp;C第 &amp;P 頁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pageSetup paperSize="9" orientation="portrait"/>
  <headerFooter alignWithMargins="0">
    <oddHeader>&amp;C&amp;A</oddHeader>
    <oddFooter>&amp;C第 &amp;P 頁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F12" sqref="F12"/>
    </sheetView>
  </sheetViews>
  <sheetFormatPr defaultColWidth="9" defaultRowHeight="16.5"/>
  <sheetData/>
  <pageMargins left="0.75" right="0.75" top="1" bottom="1" header="0.5" footer="0.5"/>
  <pageSetup paperSize="9" orientation="portrait"/>
  <headerFooter alignWithMargins="0">
    <oddHeader>&amp;C&amp;A</oddHeader>
    <oddFooter>&amp;C第 &amp;P 頁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pageSetup paperSize="9" orientation="portrait"/>
  <headerFooter alignWithMargins="0">
    <oddHeader>&amp;C&amp;A</oddHeader>
    <oddFooter>&amp;C第 &amp;P 頁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pageSetup paperSize="9" orientation="portrait"/>
  <headerFooter alignWithMargins="0">
    <oddHeader>&amp;C&amp;A</oddHeader>
    <oddFooter>&amp;C第 &amp;P 頁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pageSetup paperSize="9" orientation="portrait"/>
  <headerFooter alignWithMargins="0">
    <oddHeader>&amp;C&amp;A</oddHeader>
    <oddFooter>&amp;C第 &amp;P 頁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5"/>
  <sheetData/>
  <pageMargins left="0.75" right="0.75" top="1" bottom="1" header="0.5" footer="0.5"/>
  <pageSetup paperSize="9" orientation="portrait" horizontalDpi="1200" verticalDpi="1200"/>
  <headerFooter alignWithMargins="0">
    <oddHeader>&amp;C&amp;A</oddHeader>
    <oddFooter>&amp;C第 &amp;P 頁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0" workbookViewId="0">
      <selection activeCell="P24" sqref="P24"/>
    </sheetView>
  </sheetViews>
  <sheetFormatPr defaultColWidth="9" defaultRowHeight="16.5"/>
  <sheetData/>
  <pageMargins left="0.75" right="0.75" top="1" bottom="1" header="0.511805555555556" footer="0.511805555555556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SH2LTK</Company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计算总表</vt:lpstr>
      <vt:lpstr>铜包钢与镀银厚度计算</vt:lpstr>
      <vt:lpstr>载流量计算</vt:lpstr>
      <vt:lpstr>载流量參數表</vt:lpstr>
      <vt:lpstr>正规绞合排列表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dafu</dc:creator>
  <cp:lastModifiedBy>hxu</cp:lastModifiedBy>
  <dcterms:created xsi:type="dcterms:W3CDTF">1999-06-12T06:28:00Z</dcterms:created>
  <cp:lastPrinted>2012-05-28T07:46:00Z</cp:lastPrinted>
  <dcterms:modified xsi:type="dcterms:W3CDTF">2015-07-11T02:53:39Z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2052-9.1.0.5133</vt:lpwstr>
  </property>
</Properties>
</file>